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ronica.chirila\Desktop\Documente de lucru\2023\Prezentat Guvernului\"/>
    </mc:Choice>
  </mc:AlternateContent>
  <bookViews>
    <workbookView xWindow="0" yWindow="0" windowWidth="28800" windowHeight="12030"/>
  </bookViews>
  <sheets>
    <sheet name="Formularul nr. 7" sheetId="2" r:id="rId1"/>
  </sheets>
  <definedNames>
    <definedName name="_xlnm.Print_Area" localSheetId="0">'Formularul nr. 7'!$A$1:$H$536</definedName>
    <definedName name="_xlnm.Print_Titles" localSheetId="0">'Formularul nr. 7'!$7:$9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28" i="2" l="1"/>
  <c r="H19" i="2"/>
  <c r="H15" i="2"/>
  <c r="H51" i="2"/>
  <c r="H75" i="2"/>
  <c r="H93" i="2"/>
  <c r="H370" i="2"/>
  <c r="H387" i="2"/>
  <c r="H391" i="2"/>
  <c r="H406" i="2"/>
  <c r="H408" i="2"/>
  <c r="H426" i="2"/>
  <c r="H434" i="2"/>
  <c r="H453" i="2"/>
  <c r="H468" i="2"/>
  <c r="H473" i="2"/>
  <c r="H493" i="2"/>
  <c r="H502" i="2"/>
  <c r="H503" i="2"/>
  <c r="H504" i="2"/>
  <c r="H505" i="2"/>
  <c r="H506" i="2"/>
  <c r="H510" i="2"/>
  <c r="H507" i="2"/>
  <c r="H508" i="2"/>
  <c r="H509" i="2"/>
  <c r="H515" i="2"/>
  <c r="H522" i="2"/>
  <c r="H526" i="2"/>
  <c r="H219" i="2"/>
  <c r="H214" i="2"/>
  <c r="H213" i="2"/>
  <c r="H212" i="2"/>
  <c r="H211" i="2"/>
  <c r="H209" i="2"/>
  <c r="H202" i="2"/>
  <c r="H201" i="2"/>
  <c r="H200" i="2"/>
  <c r="H197" i="2"/>
  <c r="H196" i="2"/>
  <c r="H191" i="2"/>
  <c r="H190" i="2"/>
  <c r="H189" i="2"/>
  <c r="H188" i="2"/>
  <c r="H187" i="2"/>
  <c r="H186" i="2"/>
  <c r="H181" i="2"/>
  <c r="H179" i="2"/>
  <c r="H178" i="2"/>
  <c r="H177" i="2"/>
  <c r="H172" i="2"/>
  <c r="H158" i="2"/>
  <c r="H156" i="2"/>
  <c r="H153" i="2"/>
  <c r="H147" i="2"/>
  <c r="H146" i="2"/>
  <c r="H124" i="2"/>
  <c r="H116" i="2"/>
  <c r="H114" i="2"/>
  <c r="H110" i="2"/>
  <c r="H79" i="2"/>
  <c r="H43" i="2"/>
  <c r="H306" i="2"/>
  <c r="H305" i="2"/>
  <c r="H289" i="2"/>
  <c r="H288" i="2"/>
  <c r="H287" i="2"/>
  <c r="H257" i="2"/>
  <c r="H251" i="2"/>
  <c r="H247" i="2"/>
  <c r="H241" i="2"/>
  <c r="H206" i="2"/>
  <c r="H204" i="2"/>
  <c r="H203" i="2"/>
  <c r="H176" i="2"/>
  <c r="H175" i="2"/>
  <c r="H167" i="2"/>
  <c r="H144" i="2"/>
  <c r="H139" i="2"/>
  <c r="H133" i="2"/>
  <c r="H132" i="2"/>
  <c r="H130" i="2"/>
  <c r="H129" i="2"/>
  <c r="H128" i="2"/>
  <c r="H127" i="2"/>
  <c r="H126" i="2"/>
  <c r="H103" i="2"/>
  <c r="H94" i="2"/>
  <c r="H381" i="2"/>
  <c r="H390" i="2"/>
  <c r="H403" i="2"/>
  <c r="H405" i="2"/>
  <c r="H413" i="2"/>
  <c r="H427" i="2"/>
  <c r="H428" i="2"/>
  <c r="H441" i="2"/>
  <c r="H483" i="2"/>
  <c r="H481" i="2"/>
  <c r="H491" i="2"/>
  <c r="H252" i="2"/>
  <c r="H246" i="2"/>
  <c r="H240" i="2"/>
  <c r="H225" i="2"/>
  <c r="H160" i="2"/>
  <c r="H155" i="2"/>
  <c r="H102" i="2"/>
  <c r="H101" i="2"/>
  <c r="H85" i="2"/>
  <c r="H83" i="2"/>
  <c r="H80" i="2"/>
  <c r="H67" i="2"/>
  <c r="H52" i="2"/>
  <c r="H35" i="2"/>
  <c r="H17" i="2"/>
  <c r="H16" i="2"/>
  <c r="H492" i="2" l="1"/>
  <c r="H477" i="2"/>
  <c r="H334" i="2"/>
  <c r="H262" i="2"/>
  <c r="H157" i="2"/>
  <c r="H142" i="2"/>
  <c r="H118" i="2"/>
  <c r="H117" i="2"/>
  <c r="H115" i="2"/>
  <c r="H98" i="2"/>
  <c r="H92" i="2"/>
  <c r="H87" i="2"/>
  <c r="H73" i="2"/>
  <c r="H74" i="2"/>
  <c r="H48" i="2"/>
  <c r="H47" i="2"/>
  <c r="H50" i="2"/>
  <c r="H29" i="2"/>
  <c r="H21" i="2"/>
  <c r="H20" i="2"/>
  <c r="H18" i="2"/>
  <c r="H516" i="2"/>
  <c r="H517" i="2"/>
  <c r="H523" i="2"/>
  <c r="H524" i="2"/>
  <c r="H525" i="2"/>
  <c r="H527" i="2"/>
  <c r="H529" i="2"/>
  <c r="H530" i="2"/>
  <c r="H531" i="2"/>
  <c r="H454" i="2"/>
  <c r="H437" i="2"/>
  <c r="H438" i="2"/>
  <c r="H439" i="2"/>
  <c r="H440" i="2"/>
  <c r="H442" i="2"/>
  <c r="H443" i="2"/>
  <c r="H444" i="2"/>
  <c r="H445" i="2"/>
  <c r="H425" i="2"/>
  <c r="H424" i="2"/>
  <c r="H423" i="2"/>
  <c r="H422" i="2"/>
  <c r="H421" i="2"/>
  <c r="H416" i="2"/>
  <c r="H415" i="2"/>
  <c r="H414" i="2"/>
  <c r="H410" i="2"/>
  <c r="H409" i="2"/>
  <c r="H407" i="2"/>
  <c r="H404" i="2"/>
  <c r="H402" i="2"/>
  <c r="H398" i="2"/>
  <c r="H393" i="2"/>
  <c r="H392" i="2"/>
  <c r="H389" i="2"/>
  <c r="H388" i="2"/>
  <c r="H383" i="2"/>
  <c r="H382" i="2"/>
  <c r="H375" i="2"/>
  <c r="H374" i="2"/>
  <c r="H373" i="2"/>
  <c r="H372" i="2"/>
  <c r="H371" i="2"/>
  <c r="H364" i="2"/>
  <c r="H363" i="2"/>
  <c r="H362" i="2"/>
  <c r="H354" i="2"/>
  <c r="H353" i="2"/>
  <c r="H352" i="2"/>
  <c r="H351" i="2"/>
  <c r="H350" i="2"/>
  <c r="H349" i="2"/>
  <c r="H344" i="2"/>
  <c r="H343" i="2"/>
  <c r="H342" i="2"/>
  <c r="H341" i="2"/>
  <c r="H339" i="2"/>
  <c r="H337" i="2"/>
  <c r="H329" i="2"/>
  <c r="H328" i="2"/>
  <c r="H327" i="2"/>
  <c r="H323" i="2"/>
  <c r="H318" i="2"/>
  <c r="H317" i="2"/>
  <c r="H313" i="2"/>
  <c r="H312" i="2"/>
  <c r="H311" i="2"/>
  <c r="H310" i="2"/>
  <c r="H309" i="2"/>
  <c r="H300" i="2"/>
  <c r="H299" i="2"/>
  <c r="H298" i="2"/>
  <c r="H297" i="2"/>
  <c r="H295" i="2"/>
  <c r="H294" i="2"/>
  <c r="H282" i="2"/>
  <c r="H281" i="2"/>
  <c r="H280" i="2"/>
  <c r="H279" i="2"/>
  <c r="H278" i="2"/>
  <c r="H277" i="2"/>
  <c r="H275" i="2"/>
  <c r="H274" i="2"/>
  <c r="H273" i="2"/>
  <c r="H272" i="2"/>
  <c r="H270" i="2"/>
  <c r="H269" i="2"/>
  <c r="H268" i="2"/>
  <c r="H267" i="2"/>
  <c r="H256" i="2"/>
  <c r="H255" i="2"/>
  <c r="H253" i="2"/>
  <c r="H249" i="2" l="1"/>
  <c r="H248" i="2" l="1"/>
  <c r="H234" i="2"/>
  <c r="H230" i="2"/>
  <c r="H229" i="2"/>
  <c r="H228" i="2"/>
  <c r="H226" i="2"/>
  <c r="H224" i="2"/>
  <c r="H210" i="2"/>
  <c r="H208" i="2"/>
  <c r="H161" i="2" l="1"/>
  <c r="H154" i="2"/>
  <c r="H148" i="2"/>
  <c r="H145" i="2"/>
  <c r="H123" i="2"/>
  <c r="H104" i="2"/>
  <c r="H100" i="2"/>
  <c r="H99" i="2"/>
  <c r="H64" i="2"/>
  <c r="H66" i="2"/>
  <c r="H57" i="2"/>
  <c r="H53" i="2"/>
  <c r="H24" i="2"/>
  <c r="H23" i="2"/>
  <c r="H22" i="2"/>
  <c r="H429" i="2"/>
  <c r="H464" i="2"/>
  <c r="H463" i="2"/>
  <c r="H462" i="2"/>
  <c r="H478" i="2"/>
  <c r="H479" i="2"/>
  <c r="H485" i="2"/>
</calcChain>
</file>

<file path=xl/sharedStrings.xml><?xml version="1.0" encoding="utf-8"?>
<sst xmlns="http://schemas.openxmlformats.org/spreadsheetml/2006/main" count="872" uniqueCount="744">
  <si>
    <t>Nr.</t>
  </si>
  <si>
    <t>Denumirea proiectului</t>
  </si>
  <si>
    <t>Beneficiar</t>
  </si>
  <si>
    <t>mii lei</t>
  </si>
  <si>
    <t>TOTAL general</t>
  </si>
  <si>
    <r>
      <t xml:space="preserve">2022  </t>
    </r>
    <r>
      <rPr>
        <b/>
        <sz val="10"/>
        <color theme="1"/>
        <rFont val="Times New Roman"/>
        <family val="1"/>
        <charset val="204"/>
      </rPr>
      <t xml:space="preserve"> 
</t>
    </r>
    <r>
      <rPr>
        <i/>
        <sz val="10"/>
        <color theme="1"/>
        <rFont val="Times New Roman"/>
        <family val="1"/>
        <charset val="204"/>
      </rPr>
      <t>(8 luni)</t>
    </r>
  </si>
  <si>
    <t>Raionul Anenii Noi</t>
  </si>
  <si>
    <t>Dezvoltare regională</t>
  </si>
  <si>
    <t>Anenii Noi – Hub național de turism sportiv</t>
  </si>
  <si>
    <t>Primăria or. Anenii Noi</t>
  </si>
  <si>
    <t>Construcția sistemului de alimentare cu apă și canalizare din satul Mereni, raionul Anenii Noi</t>
  </si>
  <si>
    <t>Primăria s. Mereni</t>
  </si>
  <si>
    <t>Construcția și extinderea rețelelor de canalizare în orașul Anenii Noi</t>
  </si>
  <si>
    <t>Construcția a două rezervoare de apă potabilă subterane cu volumul de 300m3 fiecare în satul Floreni, raionul Anenii Noi</t>
  </si>
  <si>
    <t>Primăria s. Floreni</t>
  </si>
  <si>
    <t>Construcția acoperișului și termoizolarea fațadelor Grădiniței „Prichindel” din satul Chetrosu, raionul Anenii Noi</t>
  </si>
  <si>
    <t>Primăria com. Chetrosu</t>
  </si>
  <si>
    <t>Construirea unui bloc nou de învățământ pentru educația timpurie în satul Merenii Noi, raionul Anenii Noi</t>
  </si>
  <si>
    <t>Primăria s. Merenii Noi</t>
  </si>
  <si>
    <t>Centrul social comunitar - oportunitate de incluziune pentru grupurile defavorizate din comuna Geamăna, raionul Anenii-Noi</t>
  </si>
  <si>
    <t>Primăria com. Geamăna</t>
  </si>
  <si>
    <t>Amenajarea Parcului central din satul Delacău</t>
  </si>
  <si>
    <t>Primăria s. Delacău</t>
  </si>
  <si>
    <t>Telița - comunitate sigură și sănătoasă: amenajarea pistei pentru bicicliști și a pietonalei pe str. Tighina, pentru acces sigur la instituțiile educaționale și dezvoltare comunitară europeană</t>
  </si>
  <si>
    <t>Primăria com. Telița</t>
  </si>
  <si>
    <t>Amenajarea zonelor de agrement pentru locuitorii comunei Cobusca Veche, raionul Anenii Noi</t>
  </si>
  <si>
    <t>Primăria com. Cobusca</t>
  </si>
  <si>
    <t>Reparația acoperișului și schimbarea tâmplăriei Casei de cultură din satul Puhăceni</t>
  </si>
  <si>
    <t>Primăria s. Puhăceni</t>
  </si>
  <si>
    <t>Dezvoltare locală</t>
  </si>
  <si>
    <t>Total Dezvoltare regională</t>
  </si>
  <si>
    <t>Total Dezvoltare locală</t>
  </si>
  <si>
    <t>Raionul Basarabeasca</t>
  </si>
  <si>
    <t>Sistemul de canalizare și stația de epurare din satul Sadaclia, raionul Basarabeasca</t>
  </si>
  <si>
    <t>Primăria s. Sadaclia</t>
  </si>
  <si>
    <t>Renovarea Căminului cultural din orașul Basarabeasca, raionul Basarabeasca</t>
  </si>
  <si>
    <t>Primăria or. Basarabeasca</t>
  </si>
  <si>
    <t xml:space="preserve">Raionul Briceni </t>
  </si>
  <si>
    <t>Alimentarea cu apă și canalizarea masivului locativ din partea nord-vest a satului Corjeuți, raionul Briceni</t>
  </si>
  <si>
    <t>Primăria s. Corjeuți</t>
  </si>
  <si>
    <t>Accesul echitabil la apă- un indicator al calității vieții în comunitate</t>
  </si>
  <si>
    <t>Procurarea mobilierului pentru Gimnaziul din satul Cotiujeni, raionul Briceni</t>
  </si>
  <si>
    <t>Primăria s. Cotiujeni</t>
  </si>
  <si>
    <t>Primăria com. Larga</t>
  </si>
  <si>
    <t>Renovarea și dotarea Casei de Cultură din satul Slobozia-Șirăuți, raionul Briceni</t>
  </si>
  <si>
    <t>Primăria s. Slobozia-Șirăuți</t>
  </si>
  <si>
    <t>Total Raionul Anenii Noi</t>
  </si>
  <si>
    <t>Total Raionul Basarabeasca</t>
  </si>
  <si>
    <t>Total Raionul Briceni</t>
  </si>
  <si>
    <t>Raionul Cahul</t>
  </si>
  <si>
    <t>Modernizarea serviciului de alimentare cu apă potabilă în raionul Cahul prin extindere și regionalizare continuă</t>
  </si>
  <si>
    <t>Consiliul raional Cahul</t>
  </si>
  <si>
    <t>Construcția sistemului de alimentare cu apă potabilă în satul Tătărești, raionul Cahul</t>
  </si>
  <si>
    <t>Primăria s. Tătărești</t>
  </si>
  <si>
    <t>Proiectarea și construcția sistemului de alimentare cu apă și canalizare în satul Baurci-Moldoveni, raionul Cahul, etapa II</t>
  </si>
  <si>
    <t>Primăria s. Baurci-Moldoveni</t>
  </si>
  <si>
    <t>Dezvoltarea infrastructurii locale de utilități și de prestare a serviciilor publice în satul Alexanderfeld, raionul Cahul</t>
  </si>
  <si>
    <t>Primăria s. Alexanderfeld</t>
  </si>
  <si>
    <t>Renovarea acoperișului Gimnaziului „G. Coșbuc”, satul Andrușul de Jos, raionul Cahul</t>
  </si>
  <si>
    <t>Primăria s. Andrușul de Jos</t>
  </si>
  <si>
    <t>Spre o școală durabilă și eficientă, satul Slobozia Mare, raionul Cahul</t>
  </si>
  <si>
    <t>Primăria s. Slobozia Mare</t>
  </si>
  <si>
    <t>Dotarea cu echipamente, utilaje și mobilier a instituțiilor educaționale, comuna Găvănoasa, raionul Cahul</t>
  </si>
  <si>
    <t>Primăria com. Găvănoasa</t>
  </si>
  <si>
    <t>Reparația capitală a clădirii administrative a Centrului cultural din satul Colibași cu amenajarea căilor de acces, satul Colibași, raionul Cahul</t>
  </si>
  <si>
    <t>Primăria s. Colibași</t>
  </si>
  <si>
    <t>Reparația capitală a edificiului sportiv din satul Taraclia de Salcie, raionul Cahul</t>
  </si>
  <si>
    <t>Primăria s. Taraclia de Salcie</t>
  </si>
  <si>
    <t>Împreună creștem copii tineri și sănătoși, satul Andrușul de Sus, raionul Cahul</t>
  </si>
  <si>
    <t>Primăria s. Andrușul de Sus</t>
  </si>
  <si>
    <t>Amenajarea și renovarea Scuarului public central din localitatea Zîrnești, raionul Cahul</t>
  </si>
  <si>
    <t>Primăria com. Zîrnești</t>
  </si>
  <si>
    <t>Reparația și amenajarea Stadionului „Junior” a Școlii sportive nr. 1 din municipiul Cahul</t>
  </si>
  <si>
    <t>Primăria mun. Cahul</t>
  </si>
  <si>
    <t>Construcția casei tradiționale moldovenești, comuna Pelinei, raionul Cahul</t>
  </si>
  <si>
    <t>Primăria com. Pelinei</t>
  </si>
  <si>
    <t>Reutilarea imobilului existent în Atelier de țesut covoare</t>
  </si>
  <si>
    <t>Primăria s. Văleni</t>
  </si>
  <si>
    <t>Total Raionul Cahul</t>
  </si>
  <si>
    <t xml:space="preserve">Raionul Cantemir </t>
  </si>
  <si>
    <t>Construcția rețelei de apeduct (L=2,5 km) și a turnului de apă în satul Dimitrova, comuna Cîietu, raionul Cantemir</t>
  </si>
  <si>
    <t>Primăria com. Cîietu</t>
  </si>
  <si>
    <t>Construcția rețelelor de canalizare și a stației de pompare în sectorul 104 din orașul Cantemir</t>
  </si>
  <si>
    <t>Primăria or. Cantemir</t>
  </si>
  <si>
    <t>Construcția stației de epurare din satul Cociulia, raionul Cantemir</t>
  </si>
  <si>
    <t>Primăria s. Cociulia</t>
  </si>
  <si>
    <t>Construcția rețelelor exterioare de alimentare cu apă, etapa II și turnul în satele Ciobalaccia și Victorovca</t>
  </si>
  <si>
    <t>Primăria com. Ciobalaccia</t>
  </si>
  <si>
    <t>Reconstrucția Centrului multifuncțional din satul Chioltosu, comuna Țiganca, raionul Cantemir</t>
  </si>
  <si>
    <t>Primăria com. Țiganca</t>
  </si>
  <si>
    <t>Reabilitarea termică a Gimnaziului „Paraskiewa Wiszniowska”, satul Vișniovca, raionul Cantemir</t>
  </si>
  <si>
    <t>Primăria s. Vișniovca</t>
  </si>
  <si>
    <t>Total Raionul Cantemir</t>
  </si>
  <si>
    <t>Raionul Călăraşi</t>
  </si>
  <si>
    <t>Valorificarea potențialului turistic al regiunii de centru a Republicii Moldova (raioanele Străşeni, Călăraşi, Nisporeni şi Ungheni)</t>
  </si>
  <si>
    <t>Primăria or. Călărași</t>
  </si>
  <si>
    <t>Îmbunătățirea nivelului de trai în localitățile raioanelor Călărași și Strășeni prin asigurarea accesului populației la sistemele centralizate de canalizare</t>
  </si>
  <si>
    <t>Consiliul raional Călărași</t>
  </si>
  <si>
    <t>Îmbunătățirea infrastructurii de apă în Moldova Centrală</t>
  </si>
  <si>
    <t>Consiliul raional Călărași;
Consiliul raional Strășeni</t>
  </si>
  <si>
    <t>Alimentarea cu apă a satului Peticeni, raionul Călărași, extinderea rețelelor de apeduct</t>
  </si>
  <si>
    <t>Primăria s. Peticeni</t>
  </si>
  <si>
    <t>Construcția rețelelor de apeduct conectate la sonda arteziană Cangea în satul Bravicea, raionul Călărași</t>
  </si>
  <si>
    <t>Primăria s. Bravicea</t>
  </si>
  <si>
    <t>Alimentare cu apă a satului Răciula</t>
  </si>
  <si>
    <t>Primăria com. Răciula</t>
  </si>
  <si>
    <t>Extinderea rețelelor de apeduct în comuna Bahmut, raionul Călărași, etapa II</t>
  </si>
  <si>
    <t>Primăria com. Bahmut</t>
  </si>
  <si>
    <t>Renovarea clădirii și dotarea instituției de educație timpurie „Povestea” din satul Hîrjauca, raionul Călărași</t>
  </si>
  <si>
    <t>Primăria com. Hîrjauca</t>
  </si>
  <si>
    <t>Estrada de vară și amenajarea teritoriului adiacent situat în raionul Călărași, satul Nișcani (Obiect nr. 3588)</t>
  </si>
  <si>
    <t>Primăria s. Nișcani</t>
  </si>
  <si>
    <t>Amenajarea unui scuar cu zonă de agrement în satul Hirova, raionul Călărași</t>
  </si>
  <si>
    <t>Primăria s. Hirova</t>
  </si>
  <si>
    <t>Îmbunătățirea condițiilor de sport pentru copiii din orașul Călărași</t>
  </si>
  <si>
    <t>Casa de cultură din comuna Sipoteni - Centru cultural multifuncțional, model de consolidare a comunității locale</t>
  </si>
  <si>
    <t>Primăria com. Sipoteni</t>
  </si>
  <si>
    <t>Amenajarea terenului adiacent construcției existente, Casa de cultură din satul Vălcineț, raionul Călărași</t>
  </si>
  <si>
    <t>Primăria s. Vălcineț</t>
  </si>
  <si>
    <t>Total Raionul Călărași</t>
  </si>
  <si>
    <t>Raionul Căuşeni</t>
  </si>
  <si>
    <t>Modernizarea stației de epurare a apelor uzate din or. Căușeni, etapa a II-a, și construcția sistemului de canalizare în sectorul Căușenii Vechi</t>
  </si>
  <si>
    <t>Consiliul raional Căușeni</t>
  </si>
  <si>
    <t>Asigurarea bunei funcționalități a stației de epurare prin extinderea rețelelor de canalizare și regionalizarea serviciului</t>
  </si>
  <si>
    <t>Primăria or. Căușeni</t>
  </si>
  <si>
    <t>Consolidarea revitalizării urbane prin dezvoltarea infrastructurii spațiilor publice în sectorul Căușenii Vechi din orașul Căușeni</t>
  </si>
  <si>
    <t>Reabilitarea și extinderea sistemului de apeduct în orașul Căinari, raionul Căușeni, pentru zona I, sector II</t>
  </si>
  <si>
    <t>Primăria or. Căinari</t>
  </si>
  <si>
    <t>Extinderea rețelelor de canalizare în satul Coșcalia, raionul Căușeni</t>
  </si>
  <si>
    <t>Primăria s. Coșcalia</t>
  </si>
  <si>
    <t>Construcția stației de epurare în comuna Chircăieștii Noi, raionul Căușeni</t>
  </si>
  <si>
    <t>Primăria com. Chircăieștii Noi</t>
  </si>
  <si>
    <t>Revitalizarea serviciului de canalizare în satul Zaim prin conectarea localității la stația de epurare</t>
  </si>
  <si>
    <t>Primăria com. Zaim</t>
  </si>
  <si>
    <t>Asigurarea condițiilor de trai la nivel orășenesc prin accesibilitatea la sanitația de calitate europeană</t>
  </si>
  <si>
    <t>Termoizolarea fațadei Grădiniței „Viorica” și reparația blocului B, satul Cîrnățenii Noi, raionul Căușeni</t>
  </si>
  <si>
    <t>Primăria com. Cîrnățenii Noi</t>
  </si>
  <si>
    <t>Modernizarea serviciilor sociale prestate prin crearea Centrului multifuncțional social în satul Sălcuța, raionul Căușeni</t>
  </si>
  <si>
    <t>Primăria s. Sălcuța</t>
  </si>
  <si>
    <t>Consolidarea viitoarelor generații prin construcția sălii festive și de sport la Grădinița de copii „Andrieș” din satul Chircăiești, raionul Căușeni</t>
  </si>
  <si>
    <t>Primăria s. Chircăiești</t>
  </si>
  <si>
    <t>Total Raionul Căușeni</t>
  </si>
  <si>
    <t>Raionul Cimişlia</t>
  </si>
  <si>
    <t>Extinderea sistemului de canalizare în orașul Cimișlia</t>
  </si>
  <si>
    <t>Primăria or. Cimișlia</t>
  </si>
  <si>
    <t>Construcția stației de dezinfectare a apei, castelelor de apă și conectarea la rețeaua existentă de apeduct din satul Cenac, raionul Cimișlia</t>
  </si>
  <si>
    <t>Primăria s. Cenac</t>
  </si>
  <si>
    <t>Replanificarea blocului „G” a Școlii primare din satul Ecaterinovca, raionul Cimișlia în Grădiniță de copii</t>
  </si>
  <si>
    <t>Primăria com. Ecaterinovca</t>
  </si>
  <si>
    <t>1 și et. 2 a Gimnaziului Sagaidac, în Centru de dezvoltare a preșcolarilor din satul Sagaidac, raionul Cimișlia</t>
  </si>
  <si>
    <t>Primăria s. Sagaidac</t>
  </si>
  <si>
    <t>Reparația capitală a Grădiniței „Andrieș” din orașul Cimișlia</t>
  </si>
  <si>
    <t>Construcția spațiilor de menire socială și sportivă moderne pentru serviciile sociale calitative în localitatea Codreni, raionul Cimișlia</t>
  </si>
  <si>
    <t>Primăria com. Codreni</t>
  </si>
  <si>
    <t>Centru socio-cultural multifuncțional Hîrtop, raionul Cimișlia</t>
  </si>
  <si>
    <t>Primăria com. Hîrtop</t>
  </si>
  <si>
    <t>Total Raionul Cimișlia</t>
  </si>
  <si>
    <t>Raionul Criuleni</t>
  </si>
  <si>
    <t>Reabilitarea și modernizarea apeductului din satul Coșernița, raionul Criuleni</t>
  </si>
  <si>
    <t>Primăria s. Coșernița</t>
  </si>
  <si>
    <t>Construcția apeductului magistral în satul Jevreni, raionul Criuleni</t>
  </si>
  <si>
    <t>Primăria s. Jevreni</t>
  </si>
  <si>
    <t>Construcția și instalarea a două turnuri de apă</t>
  </si>
  <si>
    <t>Primăria s. Zăicana</t>
  </si>
  <si>
    <t>Fântâna Arteziană , sistem de canalizare și stația de epurare din satul Miclești,  r-nul Criuleni</t>
  </si>
  <si>
    <t>Primăria com. Miclești</t>
  </si>
  <si>
    <t>Dezvoltarea durabilă a primăriei orașului Criuleni prin alimentarea cu apă a microraionului nr 2</t>
  </si>
  <si>
    <t>Primăria or. Criuleni</t>
  </si>
  <si>
    <t>Renovarea rețelelor magistrale de apă potabilă din satul Mălăieștii Noi, comuna Bălăbănești, raionul Criuleni</t>
  </si>
  <si>
    <t>Primăria com. Bălăbănești</t>
  </si>
  <si>
    <t>Rețea de evacuare a apelor uzate din satul Porumbeni, comuna Pașcani, raionul Criuleni</t>
  </si>
  <si>
    <t>Primăria com. Pașcani</t>
  </si>
  <si>
    <t>Reparația blocului „A” la Grădinița de copii „Romanița” din satul Dubăsarii Vechi, raionul Criuleni</t>
  </si>
  <si>
    <t>Primăria s. Dubăsarii Vechi</t>
  </si>
  <si>
    <t>Reabilitarea Centrului cultural-sportiv din localitatea Corjova, raionul Criuleni</t>
  </si>
  <si>
    <t>Primăria s. Corjova</t>
  </si>
  <si>
    <t>Construcția Centrului cultural-sportiv</t>
  </si>
  <si>
    <t>Primăria s. Măgdăcești</t>
  </si>
  <si>
    <t>Reparația capitală (reconstrucția) a Sălii sportive din satul Drăsliceni, raionul Criuleni</t>
  </si>
  <si>
    <t>Primăria s. Drăsliceni</t>
  </si>
  <si>
    <t>Dotarea Casei de cultură „Andrei Ciorbă” din satul Cruglic, raionul Criuleni cu mobilier, echipament acustic și cortina de pe scenă</t>
  </si>
  <si>
    <t>Primăria s. Cruglic</t>
  </si>
  <si>
    <t>Total Raionul Criuleni</t>
  </si>
  <si>
    <t xml:space="preserve">Raionul Donduşeni </t>
  </si>
  <si>
    <t>Aprovizionarea cu apă din râul Nistru pentru 33 de localități din raioanele Dondușeni, Soroca, Ocnița</t>
  </si>
  <si>
    <t>Aprovizionarea cu apă a satului Moșana, raionul Dondușeni</t>
  </si>
  <si>
    <t>Consiliul raional Dondușeni;
Consiliul raional Soroca;
Consiliul raional Ocnița</t>
  </si>
  <si>
    <t>Primăria com. Moșana</t>
  </si>
  <si>
    <t>Extinderea rețelelor de alimentare cu apă în satul Horodiște, raionul Dondușeni, etapa II</t>
  </si>
  <si>
    <t>Primăria s. Horodiște</t>
  </si>
  <si>
    <t>Alimentarea cu apă și canalizare în satul Frasin, raionul Dondușeni</t>
  </si>
  <si>
    <t>Primăria com. Frasin</t>
  </si>
  <si>
    <t>Construcția rețelelor exterioare de alimentare cu apă în satul Sudarca, raionul Dondușeni</t>
  </si>
  <si>
    <t>Primăria com. Sudarca</t>
  </si>
  <si>
    <t>Extinderea rețelelor de apă potabilă a orașului Dondușeni, etapa IV și VI</t>
  </si>
  <si>
    <t>Primăria or. Dondușeni</t>
  </si>
  <si>
    <t>Renovarea capitală și dotarea Grădiniței de copii „Andrieș” din satul Corbu, raionul Dondușeni</t>
  </si>
  <si>
    <t>Primăria s. Corbu</t>
  </si>
  <si>
    <t>Reabilitarea și consolidarea Centrului comunitar Poienița copilăriei din satul Rediul Mare pentru dezvoltarea durabilă a comunității</t>
  </si>
  <si>
    <t>Primăria s. Rediul Mare</t>
  </si>
  <si>
    <t>Total Raionul Dondușeni</t>
  </si>
  <si>
    <t>Raionul Drochia</t>
  </si>
  <si>
    <t>Crearea infrastructurii de aprovizionare cu apă în satul Miciurin, raionul Drochia</t>
  </si>
  <si>
    <t>Primăria s. Miciurin</t>
  </si>
  <si>
    <t>Construcția rețelei de alimentare cu apă din comuna Petreni, raionul Drochia</t>
  </si>
  <si>
    <t>Primăria com. Petreni</t>
  </si>
  <si>
    <t>Construcția rețelei de alimentare cu apă în satul Hăsnășenii Mari, raionul Drochia</t>
  </si>
  <si>
    <t>Primăria s. Hăsnășenii Mari</t>
  </si>
  <si>
    <t>Extinderea sistemului de alimentare cu apă și canalizare în satul Pelinia, raionul Drochia</t>
  </si>
  <si>
    <t>Primăria com. Pelinia</t>
  </si>
  <si>
    <t>Construcția rețelelor de canalizare în cartierul nr.10, partea de sud-est a orașului Drochia</t>
  </si>
  <si>
    <t>Primăria or. Drochia</t>
  </si>
  <si>
    <t>Construcția rețelelor de alimentare cu apă în satul Popeștii de Sus, raionul Drochia</t>
  </si>
  <si>
    <t>Primăria s. Popeștii de Sus</t>
  </si>
  <si>
    <t>Reparația capitală a acoperișului IP Gimnaziul „Viorel Ciobanu”</t>
  </si>
  <si>
    <t>Primăria com. Șuri</t>
  </si>
  <si>
    <t>Reparația capitală a acoperișului IP Gimnaziul satului Mîndîc, raionul Drochia</t>
  </si>
  <si>
    <t>Primăria s. Mîndîc</t>
  </si>
  <si>
    <t>Restaurarea conacului „Russo” din satul Măcăreuca, comuna Cotova, raionul Drochia</t>
  </si>
  <si>
    <t>Primăria com Cotova</t>
  </si>
  <si>
    <t>Total Raionul Drochia</t>
  </si>
  <si>
    <t xml:space="preserve">Raionul Dubăsari </t>
  </si>
  <si>
    <t>Construcția a două castele de apă în satul Holercani, raionul Dubăsari</t>
  </si>
  <si>
    <t>Primăria s. Holercani</t>
  </si>
  <si>
    <t>Îmbunătățirea serviciului public de educație preșcolară prin sporirea capacităților de instituționalizare a copiilor din satul Coșnița, raionul Dubăsari</t>
  </si>
  <si>
    <t>Primăria com. Coșnița</t>
  </si>
  <si>
    <t>Total Raionul Dubăsari</t>
  </si>
  <si>
    <t xml:space="preserve">Raionul Edineţ </t>
  </si>
  <si>
    <t>Construcția stației de tratare a apei și extinderea sistemului de canalizare în orașele Edineț și Cupcini</t>
  </si>
  <si>
    <t>Primăria mun. Edineț</t>
  </si>
  <si>
    <t>Construcția rețelelor de alimentare cu apă din satul Parcova, raionul Edineț</t>
  </si>
  <si>
    <t>Primăria com. Parcova</t>
  </si>
  <si>
    <t>Construcția rețelelor exterioare de alimentare cu apă și canalizare din comuna Zăbriceni, raionul Edineț</t>
  </si>
  <si>
    <t>Primăria com. Zăbriceni</t>
  </si>
  <si>
    <t>Lucrări de construcție a sistemului de aprovizionare cu apă potabilă în satul Bădragii Noi, r-l Edineț</t>
  </si>
  <si>
    <t>Primăria s. Bădragii Noi</t>
  </si>
  <si>
    <t>Construcția rețelelor de alimentare cu apă în comuna Hincăuți, localitățile Hincăuți și Clișcăuți, raionul Edineț</t>
  </si>
  <si>
    <t>Primăria com. Hincăuți</t>
  </si>
  <si>
    <t>Lucrări de renovare a clădirii Gimnaziului din satul Lopatnic, raionul Edineț</t>
  </si>
  <si>
    <t>Primăria s. Lopatnic</t>
  </si>
  <si>
    <t>Lucrări de renovare exterioare și interioare pentru clădirea Centrului cultural pentru tineret din satul Terebna, raionul Edineț</t>
  </si>
  <si>
    <t>Primăria s. Terebna</t>
  </si>
  <si>
    <t>Casa de cultură din satul Gordineștii Noi - un Centru comunitar multifuncțional</t>
  </si>
  <si>
    <t>Total Raionul Edineț</t>
  </si>
  <si>
    <t xml:space="preserve">Raionul Făleşti </t>
  </si>
  <si>
    <t>Alimentarea cu apă a satului Călugăr, raionul Fălești</t>
  </si>
  <si>
    <t>Primăria com. Călugăr</t>
  </si>
  <si>
    <t>Construcția sistemelor de aprovizionare cu apă a satului Răuțel</t>
  </si>
  <si>
    <t>Primăria s. Răuțel</t>
  </si>
  <si>
    <t>Alimentarea cu apă a satului Egorovca, raionul Fălești</t>
  </si>
  <si>
    <t>Primăria com. Egorovca</t>
  </si>
  <si>
    <t>Apă pentru o viață mai bună a locuitorilor din satul Hitrești, comuna Sărata Veche, raionul Fălești</t>
  </si>
  <si>
    <t>Primăria com. Sărata Veche</t>
  </si>
  <si>
    <t>Construcția rețelelor de alimentare cu apă în satul Popovca, comuna Natalievca, raionul Fălești</t>
  </si>
  <si>
    <t>Primăria com. Natalievca</t>
  </si>
  <si>
    <t xml:space="preserve">Lucrări de amenajare a stadionului din satul Năvîrneț, raionul Fălești </t>
  </si>
  <si>
    <t>Primăria s. Năvîrneț</t>
  </si>
  <si>
    <t>Total Raionul Fălești</t>
  </si>
  <si>
    <t xml:space="preserve">Raionul Floreşti </t>
  </si>
  <si>
    <t>Apă pentru viață în regiunea de nord: raioanele Florești și Soroca 2</t>
  </si>
  <si>
    <t>Consiliul raional Florești</t>
  </si>
  <si>
    <t>Construcția stației de epurare regionale și extinderea rețelelor de canalizare în or. Florești</t>
  </si>
  <si>
    <t>Primăria or. Florești</t>
  </si>
  <si>
    <t>Serviciu durabil de asigurare cu apă potabilă extins în satul Văscăuți, raionul Florești</t>
  </si>
  <si>
    <t>Serviciu durabil de asigurare cu apă potabilă extins în satul Temeleuți, raionul Florești</t>
  </si>
  <si>
    <t>Primăria s. Temeleuți</t>
  </si>
  <si>
    <t>Serviciu durabil de asigurare cu apă potabilă extins în satul Cernița, raionul Florești</t>
  </si>
  <si>
    <t>Primăria s. Cernița</t>
  </si>
  <si>
    <t>Serviciu durabil de asigurare cu apă potabilă extins în satul Coșernița, raionul Florești</t>
  </si>
  <si>
    <t>Conectarea satului Rădulenii Vechi, raionul Florești, la conducta de apă Bălți-Soroca și rețele sătești de apeduct și canalizare din satul Rădulenii Vechi, raionul Florești (etapa I, rețele de apă)</t>
  </si>
  <si>
    <t>Primăria s. Rădulenii Vechi</t>
  </si>
  <si>
    <t>Construcția turnului de acumulare a apei și a rețelelor de apeduct în satul Cașunca, raionul Florești</t>
  </si>
  <si>
    <t>Primăria s. Cașunca</t>
  </si>
  <si>
    <t>Alimentarea cu apă și canalizare a masivului locativ din satul Gura Camencii, raionul Florești</t>
  </si>
  <si>
    <t>Primăria com. Gura Camencii</t>
  </si>
  <si>
    <t>Sistem de asigurare cu apă în satul Maiscoe, comuna Iliciovca, raionul Florești</t>
  </si>
  <si>
    <t>Primăria com. Iliciovca</t>
  </si>
  <si>
    <t>Renovarea Grădiniței de copii „Alunelul” din satul Vertiujeni, raionul Florești</t>
  </si>
  <si>
    <t>Primăria s. Vertiujeni</t>
  </si>
  <si>
    <t>Reconstrucția unui bloc de studiu al Gimnaziului, cu schimbarea destinației în Grădinița de copii, satul Cunicea, raionul Florești</t>
  </si>
  <si>
    <t>Primăria s. Cunicea</t>
  </si>
  <si>
    <t>Crearea accesului la educație timpurie prin reabilitare, modernizare și reconstrucția Grădiniței de copii din satul Domulgeni - „Investim în viitorul tău”</t>
  </si>
  <si>
    <t>Primăria s. Domulgeni</t>
  </si>
  <si>
    <t>Energie verde și eficiență energetică la Gimnaziul din satul Izvoare, raionul Florești</t>
  </si>
  <si>
    <t>Primăria com. Izvoare</t>
  </si>
  <si>
    <t>Renovarea termică a edificiului Gimnaziu-grădiniță din satul Trifănești, raionul Florești</t>
  </si>
  <si>
    <t>Primăria com. Trifănești</t>
  </si>
  <si>
    <t>Reconstrucția acoperișului la instituția de educație timpurie „Guguță”, satul Mărculești, raionul Florești</t>
  </si>
  <si>
    <t>Primăria s. Mărculești</t>
  </si>
  <si>
    <t>Supraetajarea edificiului administrativ sportiv al Stadionului orășenesc Florești</t>
  </si>
  <si>
    <t>Total Raionul Florești</t>
  </si>
  <si>
    <t xml:space="preserve">Raionul Glodeni </t>
  </si>
  <si>
    <t>Sisteme de sanitație moderne pentru cetățenii raionului Glodeni</t>
  </si>
  <si>
    <t>Consiliul raional Glodeni</t>
  </si>
  <si>
    <t>Construcția sistemului de canalizare a apelor uzate din satul Petrunea, raionul Glodeni</t>
  </si>
  <si>
    <t>Construcția sondei arteziene și a rețelelor de alimentare cu apă din satul Cajba, raionul Glodeni</t>
  </si>
  <si>
    <t>Primăria s. Cajba</t>
  </si>
  <si>
    <t>Primăria s. Petrunea</t>
  </si>
  <si>
    <t>Sporirea calității vieții locuitorilor comunei Viișoara prin asigurarea accesului la sanitație</t>
  </si>
  <si>
    <t>Primăria com. Viișoara</t>
  </si>
  <si>
    <t>Dezvoltarea apeductului din Hîjdieni prin construcția tronsonului în cartierul La moară</t>
  </si>
  <si>
    <t>Primăria s. Hîjdieni</t>
  </si>
  <si>
    <t>Lucrări de reparație a instituției de educație timpurie din satul Cobani, raionul Glodeni</t>
  </si>
  <si>
    <t>Primăria s. Cobani</t>
  </si>
  <si>
    <t>Reconstrucția acoperișului la Gimnaziul satului Limbenii Noi, raionul Glodeni</t>
  </si>
  <si>
    <t>Primăria s. Limbenii Noi</t>
  </si>
  <si>
    <t>Lucrări de reparație capitală și dotarea cantinei Gimnaziului satului Ciuciulea, raionul Glodeni</t>
  </si>
  <si>
    <t>Primăria s. Ciuciulea</t>
  </si>
  <si>
    <t>Construim viitorul comunității, începând cu școala</t>
  </si>
  <si>
    <t>Primăria com. Balatina</t>
  </si>
  <si>
    <t>Lucrări de renovare și dotări la instituția de educație timpurie Grădinița nr.5 din orașul Glodeni</t>
  </si>
  <si>
    <t>Primăria or. Glodeni</t>
  </si>
  <si>
    <t>Reparația capitală/curentă a acoperișului și amenajarea teritoriului la instituția publică din satul Sturzovca, raionul Glodeni</t>
  </si>
  <si>
    <t>Primăria s. Sturzovca</t>
  </si>
  <si>
    <t>Reparația cantinei Gimnaziului din satul Dușmani, raionul Glodeni</t>
  </si>
  <si>
    <t>Primăria s. Dușmani</t>
  </si>
  <si>
    <t>Resistematizarea și reparația etajului 1 al Gimnaziului pentru Grădinița de copii din satul Fundurii Vechi, raionul Glodeni</t>
  </si>
  <si>
    <t>Primăria s. Fundurii Vechi</t>
  </si>
  <si>
    <t>Lucrări de modernizare a inventarului Casei de cultură și Bibliotecii din satul Camenca, raionul Glodeni</t>
  </si>
  <si>
    <t>Primăria com. Camenca</t>
  </si>
  <si>
    <t>Total Raionul Glodeni</t>
  </si>
  <si>
    <t xml:space="preserve">Raionul Hînceşti </t>
  </si>
  <si>
    <t>Construcția apeductului magistral Sărata-Răzeși–Voinescu–Mingir, raionul Hîncești</t>
  </si>
  <si>
    <t>Primăria s. Voinescu</t>
  </si>
  <si>
    <t>Construcția sistemelor de aprovizionare cu apă și sanitație a localităților din lunca râului Prut, raionul Hîncești, etapa I</t>
  </si>
  <si>
    <t>Consiliul raional Hîncești</t>
  </si>
  <si>
    <t>Sisteme regionale „Apă-Canal” – garanția sănătății noastre</t>
  </si>
  <si>
    <t>Primăria mun. Hîncești</t>
  </si>
  <si>
    <t>Crearea accesului populației la sistemul de canalizare construit în satul Sărata Galbenă, raionul Hîncești</t>
  </si>
  <si>
    <t>Primăria com. Sărata Galbenă</t>
  </si>
  <si>
    <t>Construcția rețelelor de aprovizionare cu apă, canalizare și purificare din satul Mingir, raionul Hîncești, etapa II</t>
  </si>
  <si>
    <t>Primăria com. Mingir</t>
  </si>
  <si>
    <t>Construcția stației de epurare a apelor uzate din satul Negrea, raionul Hîncești</t>
  </si>
  <si>
    <t>Primăria s. Negrea</t>
  </si>
  <si>
    <t>Aprovizionarea cu apă și sanitație</t>
  </si>
  <si>
    <t>Primăria s. Ciuciuleni</t>
  </si>
  <si>
    <t>Extinderea sistemului de apeduct în satul Logănești, raionul Hîncești</t>
  </si>
  <si>
    <t>Primăria s. Logănești</t>
  </si>
  <si>
    <t>Construcția stației de tratare</t>
  </si>
  <si>
    <t>Primăria s. Buțeni</t>
  </si>
  <si>
    <t>Apă și canalizare</t>
  </si>
  <si>
    <t>Primăria s. Stolniceni</t>
  </si>
  <si>
    <t>Asigurarea accesului locuitorilor la servicii publice calitative prin construcția clădirii Primăriei în comuna Lăpușna, raionul Hîncești</t>
  </si>
  <si>
    <t>Primăria com. Lăpușna</t>
  </si>
  <si>
    <t>Reparația capitală a acoperișului Grădiniței de copii din satul Bălceana, raionul Hîncești</t>
  </si>
  <si>
    <t>Primăria s. Bălceana</t>
  </si>
  <si>
    <t>Îmbunătățirea procesului educațional in cadrul instituției de educație timpurie nr. 4 „Andrieș”</t>
  </si>
  <si>
    <t>Primăria mun. Hîncești</t>
  </si>
  <si>
    <t>Reparația clădirii instituției instructiv educaționale din satul Cioara, raionul Hîncești</t>
  </si>
  <si>
    <t>Primăria s. Cioara</t>
  </si>
  <si>
    <t>Lucrări de reparație capitală a Grădiniței din satul Caracui, raionul Hîncești</t>
  </si>
  <si>
    <t>Primăria s. Caracui</t>
  </si>
  <si>
    <t>Total Raionul Hîncești</t>
  </si>
  <si>
    <t>Raionul Ialoveni</t>
  </si>
  <si>
    <t>Crearea unei zone de agrement pentru sporirea calității vieții locuitorilor din or. Ialoveni</t>
  </si>
  <si>
    <t>Primăria or. Ialoveni</t>
  </si>
  <si>
    <t>Apeduct magistral pentru localitățile: Văsieni, Ulmu (etapa 3) și Costești, Pojăreni (etapa 4)</t>
  </si>
  <si>
    <t>Consiliul raional Ialoveni</t>
  </si>
  <si>
    <t>Rețele de canalizare cu stații de epurare din satul Văratic, raionul Ialoveni</t>
  </si>
  <si>
    <t>Primăria s. Văratic</t>
  </si>
  <si>
    <t>Servicii de sanitație de calitate și un mediu nepoluat mai aproape de Ialoveni</t>
  </si>
  <si>
    <t>Primăria or. Ialoveni</t>
  </si>
  <si>
    <t>Rețele de canalizare în satul Cigîrleni, raionul Ialoveni</t>
  </si>
  <si>
    <t>Primăria s. Cigîrleni</t>
  </si>
  <si>
    <t>Extinderea sistemului de canalizare a satului Dănceni</t>
  </si>
  <si>
    <t>Primăria s. Dănceni</t>
  </si>
  <si>
    <t>Instalații de epurare și rețele exterioare de canalizare</t>
  </si>
  <si>
    <t>Primăria s. Bardar</t>
  </si>
  <si>
    <t>Renovarea capitală a clădirii Primăriei comunei Răzeni, raionul Ialoveni</t>
  </si>
  <si>
    <t>Primăria com Răzeni</t>
  </si>
  <si>
    <t>Reconstrucția clădirii cu numărul cadastral 5526203420,01 pentru amplasarea unui Centru zonal de asistență medicală urgentă prespitalicească la nivelul I și a Centrului medical de zi de reabilitare la nivelul II.</t>
  </si>
  <si>
    <t>Primăria s. Puhoi</t>
  </si>
  <si>
    <t>Reconstrucția acoperișului și reparația capitală a Casei de cultură</t>
  </si>
  <si>
    <t>Primăria s. Suruceni</t>
  </si>
  <si>
    <t>Reparația capitală a cantinei și a sălii de sport a Liceului Teoretic „Mihail Bîrcă,” din satul Mileștii Mici, raionul Ialoveni</t>
  </si>
  <si>
    <t>Primăria com. Mileștii Mici</t>
  </si>
  <si>
    <t>Eficientizarea energetică a edificiului Gimnaziului „Mihai Eminescu” din satul Ulmu, raionul Ialoveni</t>
  </si>
  <si>
    <t>Primăria s. Ulmu</t>
  </si>
  <si>
    <t>Amenajarea teritoriului Centrului educativ pentru copii din satul Hansca, raionul Ialoveni</t>
  </si>
  <si>
    <t>Primăria s. Hansca</t>
  </si>
  <si>
    <t>CSN - Complexul Sportiv Nimoreni</t>
  </si>
  <si>
    <t>Primăria s. Nimoreni</t>
  </si>
  <si>
    <t>Reparația capitală a Casei de cultură din comuna Țipala, raionul Ialoveni</t>
  </si>
  <si>
    <t>Primăria com. Țipala</t>
  </si>
  <si>
    <t>Lucrări de renovare și dotare a Casei de cultură</t>
  </si>
  <si>
    <t>Primăria com. Ruseștii Noi</t>
  </si>
  <si>
    <t>Reparația interioară a Casei de cultură din satul Costești</t>
  </si>
  <si>
    <t>Primăria s. Costești</t>
  </si>
  <si>
    <t>Reconstrucția acoperișului Casei de cultură din satul Horești, raionul Ialoveni</t>
  </si>
  <si>
    <t>Primăria s. Horești</t>
  </si>
  <si>
    <t>Total Raionul Ialoveni</t>
  </si>
  <si>
    <t>Raionul Leova</t>
  </si>
  <si>
    <t>Construcția apeductelor magistrale Iargara–Borogani, Iargara–Tigheci și a rețelelor de apeduct interioare în localitățile Băiuș, Cociulia Nouă, Tigheci și Cuporani din raionul Leova</t>
  </si>
  <si>
    <t>Construcția apeductelor interioare în satele Tomai și Sărata-Răzeși, raionul Leova</t>
  </si>
  <si>
    <t>Construcția apeductului magistral Sărata Nouă–Sărăteni cu conectarea localităților Seliște, Cazangic, Beștemac, Troian, Troița, Vozneseni, Sărăteni, Orac, Ceadîr, Colibabovca și Cneazevca, raionul Leova</t>
  </si>
  <si>
    <t>Consiliul raional Leova,
Primăriile com. Cazangic, com. Vozneseni, com. Sărăteni, com. Cneazevca, s. Ceadîr,  s. Colibabovca și s. Orac</t>
  </si>
  <si>
    <t>Consiliul raional Leova,
Primăriile or. Iargara, com. Băiuș și s. Borogani</t>
  </si>
  <si>
    <t>Primăria s. Tomai,
Primăria s. Sărata-Răzeși</t>
  </si>
  <si>
    <t>Construcția rețelelor de canalizare și a stației de epurare a satul Ceadîr, raionul Leova</t>
  </si>
  <si>
    <t>Primăria s. Ceadîr</t>
  </si>
  <si>
    <t>Construcția rețelelor de canalizare în satul Seliște, raionul Leova</t>
  </si>
  <si>
    <t>Primăria com. Cazangic</t>
  </si>
  <si>
    <t>Extinderea apeductului magistral Sarata Nouă – Sărăteni, cu conectarea localităților: Cîmpul Drept și Sărățica Nouă în raionul Leova, etapa II și construcția rețelelor de apeduct din satul Cîmpul Drept, raionul Leova</t>
  </si>
  <si>
    <t>Primăria com. Sărățica Nouă</t>
  </si>
  <si>
    <t>Renovarea Căminului cultural din comuna Băiuș, raionul Leova</t>
  </si>
  <si>
    <t>Primăria com. Băiuș</t>
  </si>
  <si>
    <t>Construcția unui teren de joacă</t>
  </si>
  <si>
    <t>Primăria com. Hănăsenii Noi</t>
  </si>
  <si>
    <t>Renovarea parcului orășenesc din orașul Leova</t>
  </si>
  <si>
    <t>Primăria or. Leova</t>
  </si>
  <si>
    <t>Reabilitarea Casei de cultură din satul Tomai, raionul Leova</t>
  </si>
  <si>
    <t>Primăria s. Tomai</t>
  </si>
  <si>
    <t>Construcția Clubului pentru 200 locuri în satul Covurlui, raionul Leova</t>
  </si>
  <si>
    <t>Primăria s. Covurlui</t>
  </si>
  <si>
    <t>Total Raionul Leova</t>
  </si>
  <si>
    <t xml:space="preserve">Raionul Nisporeni </t>
  </si>
  <si>
    <t>Îmbunătățirea calității vieții populației rurale prin construcția apeductului de interconexiune a râului Prut – s. Măcărești cu apă potabilă pentru 13 localități din raioanele Nisporeni și Ungheni</t>
  </si>
  <si>
    <t>Consiliul raional Ungheni,
Consiliul raional Ungheni;
Primăriile com. Măcărești și s. Costuleni, r-nul Ungheni;
Primăriile com. Boldurești, com. Brătuleni și com. Valea-Trestieni, r-nul Nisporeni</t>
  </si>
  <si>
    <t>Apeduct Prut – Nisporeni. Evacuarea apelor reziduale ale or. Nisporeni (etapele a II-a și a III-a) și com. Vărzărești</t>
  </si>
  <si>
    <t>Primăria or. Nisporeni,
Primăria com. Vărzărești</t>
  </si>
  <si>
    <t>Rețelele de apeduct în localitatea Brătuleni, raionul Nisporeni</t>
  </si>
  <si>
    <t>Primăria com. Brătuleni</t>
  </si>
  <si>
    <t>Construcția sondei arteziene și rețelelor de alimentare cu apă în satul Călimănești, raionul Nisporeni</t>
  </si>
  <si>
    <t>Primăria s. Călimănești</t>
  </si>
  <si>
    <t>Creșterea ratei de acces și modernizarea sistemului de apeduct în localitatea Bălănești, raionul Nisporeni</t>
  </si>
  <si>
    <t>Primăria com. Bălănești</t>
  </si>
  <si>
    <t>Construcția sistemelor interne de aprovizionare cu apă în comuna Valea-Trestieni, raionul Nisporeni</t>
  </si>
  <si>
    <t>Primăria com. Valea-Trestieni</t>
  </si>
  <si>
    <t>Reparația capitală a Grădiniței de copii „Albinuța” din satul Vărzărești, raionul Nisporeni, etapa I</t>
  </si>
  <si>
    <t>Primăria com. Vărzărești</t>
  </si>
  <si>
    <t>Amenajarea parcului de agrement in satul Bălăurești, raionul Nisporeni</t>
  </si>
  <si>
    <t>Primăria s. Bălăurești</t>
  </si>
  <si>
    <t>Modernizarea Complexului cultural sportiv prin construcția terenului artificial de minifotbal</t>
  </si>
  <si>
    <t>Primăria s. Zberoaia</t>
  </si>
  <si>
    <t>Reconstrucția edificiului Casa Națională</t>
  </si>
  <si>
    <t>Primăria or. Nisporeni</t>
  </si>
  <si>
    <t>Conservarea patrimoniului imaterial și al tradițiilor proprii ale comunității din comuna Boldurești, raionul Nisporeni, prin reconstrucția și dotarea Casei de cultură din satul Boldurești, comuna Boldurești</t>
  </si>
  <si>
    <t>Primăria com. Boldurești</t>
  </si>
  <si>
    <t>Valorificarea culturii și promovarea patrimoniului cultural în cadrul unui spațiu verde, reabilitat pentru for public și de agrement în localitatea Iurceni, raionul Nisporeni</t>
  </si>
  <si>
    <t>Primăria com. Iurceni</t>
  </si>
  <si>
    <t>Total Raionul Nisporeni</t>
  </si>
  <si>
    <t xml:space="preserve">Raionul Ocniţa </t>
  </si>
  <si>
    <t>Păstrăm trecutul pentru viitor – reabilitarea patrimoniului istoric al orașului Ocnița pentru generațiile viitoare</t>
  </si>
  <si>
    <t>Primăria or. Ocnița</t>
  </si>
  <si>
    <t>Construcția sistemului de apeduct în satul Bîrnova, raionul Ocnița</t>
  </si>
  <si>
    <t>Primăria s. Bîrnova</t>
  </si>
  <si>
    <t>Reabilitarea (reparația capitală) a clădirii cu numărul nr. cadastral 6203105215.01, construcția rețelelor inginerești exterioare aferente (electricitate, gaz, apă-canalizare), construcția garajului cu 3 boxe, amenajarea teritoriului adiacent pentru organizarea Punctului de asistență medicală urgentă „Otaci”, str. Pavel Corceaghin, orașul Otaci, raionul Ocnița</t>
  </si>
  <si>
    <t>Primăria or. Otaci</t>
  </si>
  <si>
    <t>Reparația Casei de cultură, satul Gîrbova, raionul Ocnița</t>
  </si>
  <si>
    <t>Primăria s. Gîrbova</t>
  </si>
  <si>
    <t>Total Raionul Ocnița</t>
  </si>
  <si>
    <t>Raionul Orhei</t>
  </si>
  <si>
    <t>Consolidarea, conservarea și dezvoltarea infrastructurii turistice din cadrul Rezervației Cultural-Naturale „Orheiul Vechi”</t>
  </si>
  <si>
    <t>IP Rezervația Cultural-Naturală „Orheiul Vechi”</t>
  </si>
  <si>
    <t>Crearea condițiilor de aprovizionare cu apă a locuitorilor din satul Camencea, comuna Donici, raionul Orhei</t>
  </si>
  <si>
    <t>Primăria com. Donici</t>
  </si>
  <si>
    <t>Alimentarea cu apă și canalizare în satul Chiperceni, raionul Orhei</t>
  </si>
  <si>
    <t>Primăria com. Chiperceni</t>
  </si>
  <si>
    <t>Renovarea acoperișului la blocul Liceului „A. Donici” din satul Peresecina</t>
  </si>
  <si>
    <t>Primăria s. Peresecina</t>
  </si>
  <si>
    <t>Reconstrucția instituțiilor educaționale</t>
  </si>
  <si>
    <t>Primăria com. Mîrzești</t>
  </si>
  <si>
    <t>Schimbarea acoperișului la Gimnaziul din satul Trebujeni, raionul Orhei</t>
  </si>
  <si>
    <t>Primăria com. Trebujeni</t>
  </si>
  <si>
    <t>Proiect de dezvoltare locală</t>
  </si>
  <si>
    <t>Primăria mun. Orhei</t>
  </si>
  <si>
    <t>Condiții decente, asigurate pentru cetățeni în clădirile publice ale satului Clișova</t>
  </si>
  <si>
    <t>Primăria s. Clișova</t>
  </si>
  <si>
    <t>Servicii de calitate locuitorilor din satul Brăviceni, raionul Orhei</t>
  </si>
  <si>
    <t>Primăria s. Brăviceni</t>
  </si>
  <si>
    <t>Total Raionul Orhei</t>
  </si>
  <si>
    <t xml:space="preserve">Raionul Rezina </t>
  </si>
  <si>
    <t>Construcția rețelelor de canalizare magistrale și a stației de epurare în satul Ignăței</t>
  </si>
  <si>
    <t>Primăria s. Ignăței</t>
  </si>
  <si>
    <t>Extinderea rețelelor de alimentare cu apă cu reamplasarea turnului de apă în comuna Ghiduleni, raionul Rezina</t>
  </si>
  <si>
    <t>Primăria com. Ghiduleni</t>
  </si>
  <si>
    <t>Forarea sondei arteziene pentru aprovizionarea cu apă a comuna Horodiște, raionul Rezina</t>
  </si>
  <si>
    <t>Primăria com. Horodiște</t>
  </si>
  <si>
    <t>Construcția sondei arteziene și a sistemelor externe de aprovizionare cu apă în satul Peciște, raionul Rezina</t>
  </si>
  <si>
    <t>Primăria s. Peciște</t>
  </si>
  <si>
    <t>Renovarea Grădiniței „Ghiocel” din satul Țahnăuți</t>
  </si>
  <si>
    <t>Primăria com. Țareuca</t>
  </si>
  <si>
    <t>Renaștem satul prin cultură</t>
  </si>
  <si>
    <t>Primăria s. Mateuți</t>
  </si>
  <si>
    <t>Total Raionul Rezina</t>
  </si>
  <si>
    <t xml:space="preserve">Raionul Rîşcani </t>
  </si>
  <si>
    <t>Construcția apeductului din comuna Braniște, raionul Rîșcani</t>
  </si>
  <si>
    <t>Primăria com. Braniște</t>
  </si>
  <si>
    <t>Îmbunătățirea serviciilor de alimentare cu apă în satul Dămășcani, raionul Rîșcani</t>
  </si>
  <si>
    <t>Primăria or. Costești</t>
  </si>
  <si>
    <t>Implementarea măsurilor de eficiență energetică a clădirii IP Liceul Teoretic „Recea” din satul Recea, raionul Rîșcani</t>
  </si>
  <si>
    <t>Primăria com. Recea</t>
  </si>
  <si>
    <t>Dotarea cu fotolii teatrale și sistemul de încălzire a sălii mari de concerte a Casei de cultură din orașul Rîșcani</t>
  </si>
  <si>
    <t>Primăria or. Rîșcani</t>
  </si>
  <si>
    <t>Total Raionul Rîșcani</t>
  </si>
  <si>
    <t xml:space="preserve">Raionul Sîngerei </t>
  </si>
  <si>
    <t>Conectarea orașului Sîngerei la apeductul Bălți-Soroca-Sîngerei: construcția a două rezervoare de apă potabilă și reabilitarea rețelelor de alimentare cu apă din orașul Sîngerei, etapa I</t>
  </si>
  <si>
    <t>Primăria or. Sîngerei</t>
  </si>
  <si>
    <t>Apă potabilă pentru toată comuna Sîngereii Noi</t>
  </si>
  <si>
    <t>Primăria com. Sîngereii Noi</t>
  </si>
  <si>
    <t>Sanitație pentru Bilicenii Vechi</t>
  </si>
  <si>
    <t>Primăria com. Bilicenii Vechi</t>
  </si>
  <si>
    <t>Sistem de canalizare a unor obiecte social culturale în comuna Pepeni, raionul Sîngerei, etapa II</t>
  </si>
  <si>
    <t>Primăria com. Pepeni</t>
  </si>
  <si>
    <t>Reconstrucția acoperișului clădirii Gimnaziului „Sergiu Răduțan” din comuna Iezărenii Vechi, raionul Sîngerei</t>
  </si>
  <si>
    <t>Primăria com. Iezărenii Vechi</t>
  </si>
  <si>
    <t>Amenajarea terenurilor de joacă pentru copii în comuna Bălășești, raionul Sîngerei</t>
  </si>
  <si>
    <t>Primăria com. Bălășești</t>
  </si>
  <si>
    <t>Modernizarea Casei de cultură din satul Copăceni</t>
  </si>
  <si>
    <t>Primăria com. Copăceni</t>
  </si>
  <si>
    <t>Total Raionul Sîngerei</t>
  </si>
  <si>
    <t xml:space="preserve">Raionul Soroca </t>
  </si>
  <si>
    <t>Apa – necesitate primordială pentru o viață calitativă în Regiunea de Dezvoltare Nord</t>
  </si>
  <si>
    <t>Consiliul raional Soroca</t>
  </si>
  <si>
    <t>Rețeaua Start-up Hub: Laboratoare antreprenoriale din Regiunea de Dezvoltare Nord</t>
  </si>
  <si>
    <t>IP „IAS Gunnar Due Gundersen”</t>
  </si>
  <si>
    <t>Valorificarea patrimoniului istorico-cultural al Regiunii de Dezvoltare Nord prin reabilitarea Muzeului de Istorie și Etnografie din municipiul Soroca</t>
  </si>
  <si>
    <t>Construcția rețelelor exterioare de alimentare cu apă în satul Dumbrăveni, raionul Soroca</t>
  </si>
  <si>
    <t>Primăria com. Vădeni</t>
  </si>
  <si>
    <t>Aprovizionarea cu apă potabilă a locuitorilor satului Șeptelici, raionul Soroca</t>
  </si>
  <si>
    <t>Primăria s. Șeptelici</t>
  </si>
  <si>
    <t>Construcția rețelelor exterioare de alimentare cu apă, etapa II în satul Zastînca, raionul Soroca</t>
  </si>
  <si>
    <t>Primăria s. Zastînca</t>
  </si>
  <si>
    <t>Construcția sistemelor interne de aprovizionare cu apă a localităților din comuna Dărcăuți, raionul Soroca</t>
  </si>
  <si>
    <t>Primăria com. Dărcăuți</t>
  </si>
  <si>
    <t>Construcția sistemului de aprovizionare cu apă potabilă pentru satul Volovița, raionul Soroca, etapa I</t>
  </si>
  <si>
    <t>Primăria com. Volovița</t>
  </si>
  <si>
    <t>Reconstrucția acoperișului pe șarpanta din lemn în patru pante și învelitori din țiglă metalică al IP Gimnaziul din satul Vărăncău, raionul Soroca</t>
  </si>
  <si>
    <t>Primăria com. Vărăncău</t>
  </si>
  <si>
    <t>Conservarea patrimoniului imaterial și a tradițiilor proprii ale comunității din satul Racovăț, raionul Soroca, prin renovarea Casei de cultură din localitate</t>
  </si>
  <si>
    <t>Primăria s. Racovăț</t>
  </si>
  <si>
    <t>Oportunități mai bune pentru impulsionarea participării la activitățile culturale a cetățenilor din comuna Holoșnița</t>
  </si>
  <si>
    <t>Primăria com. Holoșnița</t>
  </si>
  <si>
    <t>Total Raionul Soroca</t>
  </si>
  <si>
    <t>Raionul Strășeni</t>
  </si>
  <si>
    <t>Sistem de canalizare pentru 7 localități și conectarea la stația de pompare/epurare din Strășeni</t>
  </si>
  <si>
    <t>Consiliul raional Strășeni;
Primăriile mun. Strășeni, com. Ghelăuza, com. Pănășești, s. Roșcani, s. Sireți, s. Recea și s. Negrești,  r-nul Strășeni</t>
  </si>
  <si>
    <t>Construcția rețelelor de canalizare pe str. Ștefan cel Mare, cu conectarea la rețeaua existentă în satul Zubrești, raionul Strășeni</t>
  </si>
  <si>
    <t>Primăria s. Zubrești</t>
  </si>
  <si>
    <t>Extinderea sistemului de canalizare al satului Sireți,  r-nul Strășeni, etapa I-a</t>
  </si>
  <si>
    <t>Primăria s. Sireți</t>
  </si>
  <si>
    <t>Construcția sistemului de aprovizionare cu apă și canalizare în comuna Pănășești</t>
  </si>
  <si>
    <t>Primăria com. Pănășești</t>
  </si>
  <si>
    <t>Construcția rețelelor de canalizare și a stației de epurare din satul Romănești, raionul Strășeni, etapa VI</t>
  </si>
  <si>
    <t>Primăria s. Romănești</t>
  </si>
  <si>
    <t>Alimentarea cu apă, evacuarea și epurarea apelor uzate din satul Lozova, raionul Strășeni (lucrări neîndeplinite, actualizate)</t>
  </si>
  <si>
    <t>Primăria com. Lozova</t>
  </si>
  <si>
    <t>Servicii publice performante pentru dezvoltarea durabilă în satul Vorniceni</t>
  </si>
  <si>
    <t>Primăria s. Vorniceni</t>
  </si>
  <si>
    <t>Reconstrucția Grădiniței de copii din orașul Bucovăț, raionul Strășeni</t>
  </si>
  <si>
    <t>Primăria or. Bucovăț</t>
  </si>
  <si>
    <t>Servicii medicale într-un mediu sigur și confortabil, satul Recea, raionul Strășeni</t>
  </si>
  <si>
    <t>Primăria s. Recea</t>
  </si>
  <si>
    <t>Reconstrucția Centrului administrativ multifuncțional în satul Ghelăuza, raionul Strășeni</t>
  </si>
  <si>
    <t>Primăria com. Ghelăuza</t>
  </si>
  <si>
    <t>Complex de terenuri de joacă pentru o copilărie frumoasă în comuna Codreanca</t>
  </si>
  <si>
    <t>Primăria com. Codreanca</t>
  </si>
  <si>
    <t>Construcția , amenajarea și dotarea terenului sportiv multifuncțional din satul Greblești, raionul Strășeni</t>
  </si>
  <si>
    <t>Primăria com. Greblești</t>
  </si>
  <si>
    <t>Edificarea Complexului sportiv multifuncțional din municipiul Strășeni - Complexul Generațiilor, faza II</t>
  </si>
  <si>
    <t>Primăria mun. Strășeni</t>
  </si>
  <si>
    <t>Amenajarea și reabilitarea spațiului public - aleea pietonală din parcul central al satului Cojușna, raionul Strășeni</t>
  </si>
  <si>
    <t>Primăria s. Cojușna</t>
  </si>
  <si>
    <t>Finalizarea reparației Casei de cultură (Centru comunitar multifuncțional)</t>
  </si>
  <si>
    <t>Primăria s. Roșcani</t>
  </si>
  <si>
    <t>Construcția și dotarea Complexului muzeistic a satului Scoreni pentru promovarea elementelor istorice , tradiționale, meșteșugărești și amenajarea zonei adiacente</t>
  </si>
  <si>
    <t>Primăria s. Scoreni</t>
  </si>
  <si>
    <t>Total Raionul Strășeni</t>
  </si>
  <si>
    <t>Raionul Şoldăneşti</t>
  </si>
  <si>
    <t>Construcția rețelei de aprovizionare cu apă potabilă a satului Climăuții de Jos, raionul Șoldănești</t>
  </si>
  <si>
    <t>Primăria com. Climăuții de Jos</t>
  </si>
  <si>
    <t>Construcția sistemului de alimentare cu apă și canalizare în satul Găuzeni, raionul Șoldănești</t>
  </si>
  <si>
    <t>Primăria s. Găuzeni</t>
  </si>
  <si>
    <t>Construcția sistemului de alimentare cu apă și canalizare în satul Chipeșca, raionul Șoldănești</t>
  </si>
  <si>
    <t>Primăria s. Chipeșca</t>
  </si>
  <si>
    <t>Extinderea sistemului intern de aprovizionare cu apă potabilă și sistemului de canalizare în sectorul III al satului Cotiujenii Mari, raionul Șoldănești</t>
  </si>
  <si>
    <t>Primăria com. Cotiujenii Mari</t>
  </si>
  <si>
    <t>Rețele de apeduct pentru cetățenii satului Cobîlea și centrelor de menire socială</t>
  </si>
  <si>
    <t>Primăria s. Cobîlea</t>
  </si>
  <si>
    <t>Construcția sondei arteziene și rețelelor de alimentare cu apă în satul Poiana, raionul Șoldănești</t>
  </si>
  <si>
    <t>Primăria s. Poiana</t>
  </si>
  <si>
    <t>Sistemul de alimentare cu apă și canalizare din satul Olișcani, raionul Șoldănești</t>
  </si>
  <si>
    <t>Primăria s. Olișcani</t>
  </si>
  <si>
    <t>Forarea fântânii arteziene și construcția rețelei de apeduct și canalizare în satul Șestaci, raionul Șoldănești</t>
  </si>
  <si>
    <t>Primăria s. Șestaci</t>
  </si>
  <si>
    <t>Amenajarea teritoriului și renovarea rețelelor de canalizare și apeduct la Grădinița de copii „Andrieș”</t>
  </si>
  <si>
    <t>Primăria or. Șoldănești</t>
  </si>
  <si>
    <t>Total Raionul Soldănești</t>
  </si>
  <si>
    <t xml:space="preserve">Raionul Ştefan Vodă </t>
  </si>
  <si>
    <t>Apeduct magistral Ștefan Vodă–Căușeni–Căinari</t>
  </si>
  <si>
    <t>Consiliul raional Ștefan Vodă;
Consiliul raional Căușeni;
Primăriile or. Ștefan Vodă și s. Cioburciu, r-nul Ștefan Vodă;
Primăriile or. Căușeni și or. Căinari,
r-nul Căușeni</t>
  </si>
  <si>
    <t>Extinderea rețelelor de apeduct și renovarea sondelor arteziene existente cu numărul cadastral 8519316.066 și 8519316.067 din satul Ermoclia, raionul Ștefan Vodă</t>
  </si>
  <si>
    <t>Primăria s. Ermoclia</t>
  </si>
  <si>
    <t>Îmbunătățirea sistemului de alimentare cu apă potabilă în satul Volintiri, raionul Ștefan Vodă</t>
  </si>
  <si>
    <t>Primăria s. Volintiri</t>
  </si>
  <si>
    <t>Finalizarea lucrărilor de construcție a infrastructurii tehnico-edilitare locale de canalizare și stația de epurare în s. Feștelița, r-nul Ștefan Vodă</t>
  </si>
  <si>
    <t>Primăria s. Feștelița</t>
  </si>
  <si>
    <t>Reabilitarea și modernizarea infrastructurii instituției educației timpurii din satul Antonești, raionul Ștefan Vodă</t>
  </si>
  <si>
    <t>Primăria s. Antonești</t>
  </si>
  <si>
    <t>Renovarea și eficientizarea energetică a clădirii Centrului administrativ multifuncțional din orașul Ștefan Vodă</t>
  </si>
  <si>
    <t>Primăria or. Ștefan Vodă</t>
  </si>
  <si>
    <t>Înființarea și amenajarea zonei de agrement în Crocmaz, raionul Ștefan Vodă</t>
  </si>
  <si>
    <t>Primăria s. Crocmaz</t>
  </si>
  <si>
    <t>Dezvoltarea Complexului sportiv multifuncțional - satului european Cioburciu</t>
  </si>
  <si>
    <t>Primăria s. Cioburciu</t>
  </si>
  <si>
    <t>Revitalizăm satul: amenajarea spațiului public al comunei Purcari, raionul Ștefan Vodă</t>
  </si>
  <si>
    <t>Primăria com. Purcari</t>
  </si>
  <si>
    <t>Reparația interioară a încăperilor Căminului cultural din satul Popeasca, raionul Ștefan Vodă</t>
  </si>
  <si>
    <t>Primăria s. Popeasca</t>
  </si>
  <si>
    <t>Reconstrucția acoperișului Casei de cultură din satul Olănești, raionul Ștefan Vodă</t>
  </si>
  <si>
    <t>Primăria s. Olănești</t>
  </si>
  <si>
    <t>Total Raionul Ștefan Vodă</t>
  </si>
  <si>
    <t xml:space="preserve">Raionul Taraclia </t>
  </si>
  <si>
    <t>Extinderea rețelelor de apeduct din satul Hagichioi, comuna Albota de Jos, raionul Taraclia</t>
  </si>
  <si>
    <t>Primăria com. Albota de Jos</t>
  </si>
  <si>
    <t>O casă caldă-pentru fiecare copil</t>
  </si>
  <si>
    <t>Primăria com. Vinogradovca</t>
  </si>
  <si>
    <t>Construirea unei unități de catering în Liceul Teoretic al orașului Tvardița, raionul Taraclia</t>
  </si>
  <si>
    <t>Primăria or. Tvardița</t>
  </si>
  <si>
    <t>Replanificarea Muzeului de istorie și cultură, orașul Taraclia, raionul Taraclia</t>
  </si>
  <si>
    <t>Primăria or. Taraclia</t>
  </si>
  <si>
    <t>Total Raionul Taraclia</t>
  </si>
  <si>
    <t>Raionul Telenești</t>
  </si>
  <si>
    <t>Extinderea rețelelor de canalizare din orașul Telenești și satul Mihălașa</t>
  </si>
  <si>
    <t>Primăria or. Telenești</t>
  </si>
  <si>
    <t>Canalizarea satului Suhuluceni,  r-nul Telenești</t>
  </si>
  <si>
    <t>Primăria com. Suhuluceni</t>
  </si>
  <si>
    <t>Reparația capitală a tavanului și acoperișului Casei de cultură din comuna Sărătenii Vechi, raionul Telenești</t>
  </si>
  <si>
    <t>Primăria com. Sărătenii Vechi</t>
  </si>
  <si>
    <t>Reabilităm instituțiile educaționale și creștem prin educație</t>
  </si>
  <si>
    <t>Primăria com. Negureni</t>
  </si>
  <si>
    <t>Construcția și amenajarea Stadionului cu zonă de odihnă</t>
  </si>
  <si>
    <t>Primăria s. Scorțeni</t>
  </si>
  <si>
    <t>Amenajarea parcului de agrement din satul Cîșla , Raionul Telenești</t>
  </si>
  <si>
    <t>Primăria s. Cîșla</t>
  </si>
  <si>
    <t>Amenajarea parcului de cultură și agrement „Bunica Ioana” din satul Ciulucani, Telenești și drumului de acces către parc pentru consolidarea spiritului comunitar în localitate</t>
  </si>
  <si>
    <t>Primăria s. Ciulucani</t>
  </si>
  <si>
    <t>Total Raionul Telenești</t>
  </si>
  <si>
    <t>Raionul Ungheni</t>
  </si>
  <si>
    <t>Reabilitarea și extinderea apeductului magistral Zagarancea–Cornești</t>
  </si>
  <si>
    <t>Consiliul raional Ungheni</t>
  </si>
  <si>
    <t>Sat modern european</t>
  </si>
  <si>
    <t>Primăria com. Valea Mare</t>
  </si>
  <si>
    <t>Construcția rețelelor de canalizare în localitatea Rădenii Vechi, raionul Ungheni</t>
  </si>
  <si>
    <t>Primăria s. Rădenii Vechi</t>
  </si>
  <si>
    <t>Construcția rețelelor de alimentare cu apă a satelor Coșeni, Țîghira, Zăzulenii Vechi, din comuna Negurenii Vechi, raionul Ungheni</t>
  </si>
  <si>
    <t>Primăria com. Negurenii Vechi</t>
  </si>
  <si>
    <t>Lucrări de construcție a sistemului de apeduct, canalizare și epurare a satului Romanovca și orașul Cornești</t>
  </si>
  <si>
    <t>Primăria or. Cornești</t>
  </si>
  <si>
    <t>Extinderea rețelelor de alimentare cu apă potabilă în satul Frăsinești, comuna Măcărești, raionul Ungheni</t>
  </si>
  <si>
    <t>Primăria com. Măcărești</t>
  </si>
  <si>
    <t>Eficientizarea infrastructurii publice prin extinderea sistemului de canalizare în municipiul Ungheni</t>
  </si>
  <si>
    <t>Primăria mun. Ungheni</t>
  </si>
  <si>
    <t>Reconstrucția instituției de învățământ timpuriu din satul Măgurele, raionul Ungheni și înființarea Complexului educațional „Gimnaziu-Grădiniță”</t>
  </si>
  <si>
    <t>Primăria s. Măgurele</t>
  </si>
  <si>
    <t>Construcția Oficiului medicilor de familie din satul Buciumeni, raionul Ungheni</t>
  </si>
  <si>
    <t>Primăria com. Buciumeni</t>
  </si>
  <si>
    <t>Sporirea accesului și gradului de participare a copiilor la educația timpurie în satul Sculeni, raionul Ungheni</t>
  </si>
  <si>
    <t>Primăria com. Sculeni</t>
  </si>
  <si>
    <t>Parcul viitorului european la noi acasă</t>
  </si>
  <si>
    <t>Primăria s. Unțești</t>
  </si>
  <si>
    <t>Total Raionul Ungheni</t>
  </si>
  <si>
    <t>Municipiul Bălți</t>
  </si>
  <si>
    <t>Construcția Centrului expozițional NORD-EXPO, mun. Bălți, str. Aerodromului, nr. 1</t>
  </si>
  <si>
    <t>Zona Economică Liberă „Bălți”</t>
  </si>
  <si>
    <t>Reabilitarea,modernizarea și dotarea Muzeului de Istorie și Etnografie din mun. Bălți</t>
  </si>
  <si>
    <t>Primăria mun. Bălți</t>
  </si>
  <si>
    <t>Modernizarea infrastructurii spațiilor publice și instituțiilor educaționale în zona de revitalizare din municipiul Bălți</t>
  </si>
  <si>
    <t>Total Municipiul Bălți</t>
  </si>
  <si>
    <t>Municipiul Chișinău</t>
  </si>
  <si>
    <t>Dezvoltarea Grădinii Botanice ca destinație ecoturistică</t>
  </si>
  <si>
    <t>Grădina Botanică Națională (Institut) „Alexandru Ciubotaru”</t>
  </si>
  <si>
    <t>Rețele de canalizare pentru localitățile Cruzești, Budești, Tohatin cu stație de pompare regională</t>
  </si>
  <si>
    <t>Primăria com. Tohatin</t>
  </si>
  <si>
    <t>Extinderea rețelelor de alimentare cu apă și canalizare în sectoarele „B” și „C” din satul Budești, municipiul Chișinău</t>
  </si>
  <si>
    <t>Primăria s. Budești</t>
  </si>
  <si>
    <t>Rețele de canalizare a străzilor M. Eminescu, Păcii, Sfatul Țării, Dacia din satul Ghidighici, sectorul Buiucani, municipiul Chișinău</t>
  </si>
  <si>
    <t>Primăria s. Ghidighici</t>
  </si>
  <si>
    <t>Construcția sistemului de alimentare cu apă în satul Trușeni, municipiul Chișinău (sectorul Vălicica Nouă)</t>
  </si>
  <si>
    <t>Primăria com. Trușeni</t>
  </si>
  <si>
    <t>Reparația capitală a clădirii IMSP Centru sănătate publică, str. Hipocrat, nr. 3, satul Colonița, mun. Chișinău, etapa II, reparații interioare.</t>
  </si>
  <si>
    <t>Primăria s. Colonița</t>
  </si>
  <si>
    <t>Construcția acoperișului Liceului Teoretic „N. Bălcescu”, str. Alexandru cel Bun, nr. 2, comuna Ciorescu, municipiul Chișinău</t>
  </si>
  <si>
    <t>Primăria com. Ciorescu</t>
  </si>
  <si>
    <t>Reconstrucția Centrului administrativ-cultural din comuna Grătiești</t>
  </si>
  <si>
    <t>Primăria com. Grătiești</t>
  </si>
  <si>
    <t>Construcția unui parc public cu terenuri de joacă pentru copii situat pe str. Alexei Mateevici, comuna Stăuceni, municipiul Chișinău</t>
  </si>
  <si>
    <t>Primăria com. Stăuceni</t>
  </si>
  <si>
    <t>Construcția instituției de educație timpurie cu o capacitate de 160 locuri în satul Bîc, comuna Bubuieci, municipiul Chișinău</t>
  </si>
  <si>
    <t>Primăria com. Bubuieci</t>
  </si>
  <si>
    <t>Total Municipiul Chișinău</t>
  </si>
  <si>
    <t>UTA Găgăuzia</t>
  </si>
  <si>
    <t>Dezvoltarea inovativă a întreprinderilor agricole și prelucrătoare din regiune prin construcția unui complex de păstrare și ambalare a producției</t>
  </si>
  <si>
    <t>Comitetul Executiv al UTA Găgăuzia</t>
  </si>
  <si>
    <t>Crearea condițiilor pentru dezvoltarea postincubare a rezidenților Incubatorului de afaceri și dezvoltarea economiei municipiului Ceadîr-Lunga și a regiunii</t>
  </si>
  <si>
    <t>Primăria mun. Ceadîr-Lunga</t>
  </si>
  <si>
    <t>Crearea complexului turistic sportiv-ecvestru „AT-Prolin”</t>
  </si>
  <si>
    <t>Primăria mun. Ceadîr-Lunga</t>
  </si>
  <si>
    <t>Construcția stației de epurare a apelor uzate în municipiul Ceadîr-Lunga</t>
  </si>
  <si>
    <t>Alimentarea cu apă și canalizare a comunei Congazcicul de Sus</t>
  </si>
  <si>
    <t>Primăria com. Congazcicul de Sus</t>
  </si>
  <si>
    <t>Reparația acoperișului Școlii din satul Joltai</t>
  </si>
  <si>
    <t>Primăria s. Joltai</t>
  </si>
  <si>
    <t>Măsuri de îmbunătățire a eficienței energetice clădirii multifuncționale a Primăriei satului Tomai</t>
  </si>
  <si>
    <t>Reparația acoperișului clădirii principale a Gimnaziului din satul Cazaclia</t>
  </si>
  <si>
    <t>Primăria s. Cazaclia</t>
  </si>
  <si>
    <t>Set de măsuri de reconstrucție și ridicarea nivelului de eficiență energetică a Grădiniței de copii nr .9 din municipiul Comrat</t>
  </si>
  <si>
    <t>Primăria mun. Comrat</t>
  </si>
  <si>
    <t>Reconstrucția acoperișului clădirii - actualul Centru social-sportiv din satul Dezghingea</t>
  </si>
  <si>
    <t>Primăria s. Dezghingea</t>
  </si>
  <si>
    <t>Extinderea drepturilor și posibilităților locuitorilor satul Copceac prin construcția bazinului deschis de înot</t>
  </si>
  <si>
    <t>Primăria s. Copceac</t>
  </si>
  <si>
    <t>Reconstrucția acoperișului Casei de cultură din satul Cioc-Maidan</t>
  </si>
  <si>
    <t>Instalarea acoperișului deasupra Casei de cultură a Primăriei satului Beșghioz</t>
  </si>
  <si>
    <t>Primăria s. Beșghioz</t>
  </si>
  <si>
    <t>Primăria s. Cioc-Maidan</t>
  </si>
  <si>
    <t>Lucrări de renovare a Centrului cultural din satul Gaidar</t>
  </si>
  <si>
    <t>Primăria s. Gaidar</t>
  </si>
  <si>
    <t>Total UTA Găgăuzia</t>
  </si>
  <si>
    <t>Notă:
Proiectele de dezvoltare regională incluse în DUP 2022-2024 urmează a fi implementate până la sfârșitul anului 2024, iar proiectele de dezvoltare locală - până la sfârșitul anului 2023.</t>
  </si>
  <si>
    <t>la Nota informativă</t>
  </si>
  <si>
    <t>Proiect</t>
  </si>
  <si>
    <t>Executat</t>
  </si>
  <si>
    <t>Construcția sistemelor de alimentare cu apă în 10 localități din lunca răului Prut, r-ul Glodeni. Etapa I - com. Cuhnesti și com. Balatina</t>
  </si>
  <si>
    <t>Dezvoltarea infrastructurii de afaceri prin amenajarea pieții regionale en-gros și a spațiilor destinate activităților non-agricole în raionul Râșcani</t>
  </si>
  <si>
    <t>CR Rîșcani</t>
  </si>
  <si>
    <t>Crearea în mun. Bălți a Centrului de inovare și transfer tehnologic (CITT) din Regiunea de Dezvoltare Nord (RDN)</t>
  </si>
  <si>
    <t>Modernizarea infrastructurii turistice prin construcția drumului de acces spre Mănăstirea ”Adormirea Maicii Domnului din satul Calarașovca</t>
  </si>
  <si>
    <t>Îmbunătățirea calității vieții populației rurale prin construcția sistemelor de apă potabilă și de canalizare, regională serviciilor comunale în satele din lunca s. Lapușnița, raionul Hîncești</t>
  </si>
  <si>
    <t>Construcția complexului Turistic Sportiv în satul Costești</t>
  </si>
  <si>
    <t>Reabilitarea infrastructurii de transport pe traseul L392 Ungheni - Cetireni - Alexeevca</t>
  </si>
  <si>
    <t>Reabilitarea și modernizarea drumului regional L442- Strășeni - Voinova, Raionul Strășeni</t>
  </si>
  <si>
    <t>CR Strășeni</t>
  </si>
  <si>
    <t>Reabilitarea infrastructurii rutiere de acces în Regiunea Centru prin asfaltarea drumului L-326.M2 Clișova-Suhuluceni-Leușeni-Verejen</t>
  </si>
  <si>
    <t>Comitetul Executiv UTA Găgăuzia</t>
  </si>
  <si>
    <t>Construcția sistemului de canalizare în sectorul Valul lui Traian și modernizarea stației de epurare din or. Căușeni</t>
  </si>
  <si>
    <t>Aprovizionarea cu apă potabilă a localităților Sîrma, Tochile - Răducani și Tomai din raionul Leova</t>
  </si>
  <si>
    <t>Primăria s. Sîrma și s. Tochile-Răducani</t>
  </si>
  <si>
    <t>Măsuri de eficiență energetică a Centrului de sănătate mun. Comrat</t>
  </si>
  <si>
    <t>Primăria Suhuluceni</t>
  </si>
  <si>
    <t>Consiliul raional Ocnița</t>
  </si>
  <si>
    <t>Pimăria s. Sofia</t>
  </si>
  <si>
    <t>Sinteza proiectelor/măsurilor finanțate din Fondul național pentru dezvoltare regională și locală 
în anii 2021-2022 și propuneri pentru anul 2023</t>
  </si>
  <si>
    <t>Tabelul nr.15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</si>
</sst>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3" fillId="0" borderId="0" xfId="0" applyFont="1" applyFill="1" applyAlignment="1"/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right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0" applyNumberFormat="1"/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/>
    </xf>
    <xf numFmtId="0" fontId="9" fillId="0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0" xfId="1" applyFont="1" applyAlignment="1"/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1" xfId="0" applyFont="1" applyBorder="1"/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0" borderId="4" xfId="0" applyFont="1" applyBorder="1" applyAlignment="1">
      <alignment horizontal="right" vertical="top"/>
    </xf>
    <xf numFmtId="0" fontId="5" fillId="0" borderId="5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center" wrapText="1"/>
    </xf>
    <xf numFmtId="0" fontId="4" fillId="0" borderId="0" xfId="1" applyFont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9"/>
  <sheetViews>
    <sheetView tabSelected="1" showWhiteSpace="0" view="pageBreakPreview" zoomScaleNormal="100" zoomScaleSheetLayoutView="100" workbookViewId="0"/>
  </sheetViews>
  <sheetFormatPr defaultRowHeight="15" x14ac:dyDescent="0.25"/>
  <cols>
    <col min="1" max="1" width="5.28515625" style="2" customWidth="1"/>
    <col min="4" max="4" width="30.7109375" customWidth="1"/>
    <col min="5" max="5" width="17.7109375" customWidth="1"/>
    <col min="6" max="7" width="12.5703125" customWidth="1"/>
    <col min="8" max="8" width="13.42578125" customWidth="1"/>
    <col min="9" max="9" width="9.5703125" bestFit="1" customWidth="1"/>
  </cols>
  <sheetData>
    <row r="1" spans="1:9" ht="15.75" x14ac:dyDescent="0.25">
      <c r="G1" s="33"/>
      <c r="H1" s="33" t="s">
        <v>743</v>
      </c>
    </row>
    <row r="2" spans="1:9" ht="16.5" customHeight="1" x14ac:dyDescent="0.25">
      <c r="G2" s="48" t="s">
        <v>720</v>
      </c>
      <c r="H2" s="48"/>
    </row>
    <row r="3" spans="1:9" ht="16.5" customHeight="1" x14ac:dyDescent="0.25">
      <c r="G3" s="25"/>
      <c r="H3" s="25"/>
    </row>
    <row r="4" spans="1:9" ht="32.25" customHeight="1" x14ac:dyDescent="0.3">
      <c r="A4" s="50" t="s">
        <v>742</v>
      </c>
      <c r="B4" s="50"/>
      <c r="C4" s="50"/>
      <c r="D4" s="50"/>
      <c r="E4" s="50"/>
      <c r="F4" s="50"/>
      <c r="G4" s="50"/>
      <c r="H4" s="50"/>
      <c r="I4" s="1"/>
    </row>
    <row r="5" spans="1:9" ht="14.25" customHeight="1" x14ac:dyDescent="0.3">
      <c r="A5" s="3"/>
      <c r="B5" s="3"/>
      <c r="C5" s="3"/>
      <c r="D5" s="3"/>
      <c r="E5" s="3"/>
      <c r="F5" s="3"/>
      <c r="G5" s="3"/>
      <c r="H5" s="3"/>
      <c r="I5" s="1"/>
    </row>
    <row r="6" spans="1:9" ht="18.75" x14ac:dyDescent="0.3">
      <c r="A6" s="8"/>
      <c r="B6" s="4"/>
      <c r="C6" s="4"/>
      <c r="D6" s="4"/>
      <c r="E6" s="4"/>
      <c r="F6" s="4"/>
      <c r="G6" s="5"/>
      <c r="H6" s="18" t="s">
        <v>3</v>
      </c>
      <c r="I6" s="1"/>
    </row>
    <row r="7" spans="1:9" ht="15" customHeight="1" x14ac:dyDescent="0.25">
      <c r="A7" s="51" t="s">
        <v>0</v>
      </c>
      <c r="B7" s="51" t="s">
        <v>1</v>
      </c>
      <c r="C7" s="51"/>
      <c r="D7" s="51"/>
      <c r="E7" s="51" t="s">
        <v>2</v>
      </c>
      <c r="F7" s="51" t="s">
        <v>722</v>
      </c>
      <c r="G7" s="51"/>
      <c r="H7" s="19" t="s">
        <v>721</v>
      </c>
    </row>
    <row r="8" spans="1:9" ht="32.25" customHeight="1" x14ac:dyDescent="0.25">
      <c r="A8" s="51"/>
      <c r="B8" s="52"/>
      <c r="C8" s="52"/>
      <c r="D8" s="52"/>
      <c r="E8" s="52"/>
      <c r="F8" s="11">
        <v>2021</v>
      </c>
      <c r="G8" s="9" t="s">
        <v>5</v>
      </c>
      <c r="H8" s="19">
        <v>2023</v>
      </c>
    </row>
    <row r="9" spans="1:9" ht="12.75" customHeight="1" x14ac:dyDescent="0.25">
      <c r="A9" s="12">
        <v>1</v>
      </c>
      <c r="B9" s="53">
        <v>2</v>
      </c>
      <c r="C9" s="53"/>
      <c r="D9" s="53"/>
      <c r="E9" s="12">
        <v>3</v>
      </c>
      <c r="F9" s="12">
        <v>4</v>
      </c>
      <c r="G9" s="12">
        <v>5</v>
      </c>
      <c r="H9" s="12">
        <v>7</v>
      </c>
    </row>
    <row r="10" spans="1:9" ht="21" customHeight="1" x14ac:dyDescent="0.25">
      <c r="A10" s="34" t="s">
        <v>6</v>
      </c>
      <c r="B10" s="35"/>
      <c r="C10" s="35"/>
      <c r="D10" s="35"/>
      <c r="E10" s="35"/>
      <c r="F10" s="35"/>
      <c r="G10" s="35"/>
      <c r="H10" s="35"/>
    </row>
    <row r="11" spans="1:9" ht="15.75" x14ac:dyDescent="0.25">
      <c r="A11" s="34" t="s">
        <v>7</v>
      </c>
      <c r="B11" s="35"/>
      <c r="C11" s="35"/>
      <c r="D11" s="35"/>
      <c r="E11" s="35"/>
      <c r="F11" s="35"/>
      <c r="G11" s="35"/>
      <c r="H11" s="35"/>
    </row>
    <row r="12" spans="1:9" ht="39.75" customHeight="1" x14ac:dyDescent="0.25">
      <c r="A12" s="10">
        <v>1</v>
      </c>
      <c r="B12" s="47" t="s">
        <v>8</v>
      </c>
      <c r="C12" s="47"/>
      <c r="D12" s="47"/>
      <c r="E12" s="20" t="s">
        <v>9</v>
      </c>
      <c r="F12" s="6"/>
      <c r="G12" s="6"/>
      <c r="H12" s="21">
        <v>1438.6000000000004</v>
      </c>
    </row>
    <row r="13" spans="1:9" ht="18" customHeight="1" x14ac:dyDescent="0.25">
      <c r="A13" s="45" t="s">
        <v>30</v>
      </c>
      <c r="B13" s="46"/>
      <c r="C13" s="46"/>
      <c r="D13" s="46"/>
      <c r="E13" s="46"/>
      <c r="F13" s="7"/>
      <c r="G13" s="7"/>
      <c r="H13" s="22">
        <v>1438.6000000000004</v>
      </c>
    </row>
    <row r="14" spans="1:9" ht="21" customHeight="1" x14ac:dyDescent="0.25">
      <c r="A14" s="34" t="s">
        <v>29</v>
      </c>
      <c r="B14" s="35"/>
      <c r="C14" s="35"/>
      <c r="D14" s="35"/>
      <c r="E14" s="35"/>
      <c r="F14" s="35"/>
      <c r="G14" s="35"/>
      <c r="H14" s="35"/>
    </row>
    <row r="15" spans="1:9" ht="45.75" customHeight="1" x14ac:dyDescent="0.25">
      <c r="A15" s="10">
        <v>2</v>
      </c>
      <c r="B15" s="40" t="s">
        <v>10</v>
      </c>
      <c r="C15" s="41"/>
      <c r="D15" s="42"/>
      <c r="E15" s="20" t="s">
        <v>11</v>
      </c>
      <c r="F15" s="6"/>
      <c r="G15" s="6"/>
      <c r="H15" s="21">
        <f>8795.6-4000-1000-1000-500</f>
        <v>2295.6000000000004</v>
      </c>
    </row>
    <row r="16" spans="1:9" ht="39.75" customHeight="1" x14ac:dyDescent="0.25">
      <c r="A16" s="10">
        <v>3</v>
      </c>
      <c r="B16" s="40" t="s">
        <v>12</v>
      </c>
      <c r="C16" s="41"/>
      <c r="D16" s="42"/>
      <c r="E16" s="20" t="s">
        <v>9</v>
      </c>
      <c r="F16" s="6"/>
      <c r="G16" s="6"/>
      <c r="H16" s="21">
        <f>6858.3-3000-1000-1000</f>
        <v>1858.3000000000002</v>
      </c>
    </row>
    <row r="17" spans="1:8" ht="60.75" customHeight="1" x14ac:dyDescent="0.25">
      <c r="A17" s="10">
        <v>4</v>
      </c>
      <c r="B17" s="40" t="s">
        <v>13</v>
      </c>
      <c r="C17" s="41"/>
      <c r="D17" s="42"/>
      <c r="E17" s="20" t="s">
        <v>14</v>
      </c>
      <c r="F17" s="6"/>
      <c r="G17" s="6"/>
      <c r="H17" s="21">
        <f>3928.5-1000-500-1000</f>
        <v>1428.5</v>
      </c>
    </row>
    <row r="18" spans="1:8" ht="54.75" customHeight="1" x14ac:dyDescent="0.25">
      <c r="A18" s="10">
        <v>6</v>
      </c>
      <c r="B18" s="40" t="s">
        <v>15</v>
      </c>
      <c r="C18" s="41"/>
      <c r="D18" s="42"/>
      <c r="E18" s="20" t="s">
        <v>16</v>
      </c>
      <c r="F18" s="6"/>
      <c r="G18" s="6"/>
      <c r="H18" s="21">
        <f>3010.4-1500</f>
        <v>1510.4</v>
      </c>
    </row>
    <row r="19" spans="1:8" ht="47.25" customHeight="1" x14ac:dyDescent="0.25">
      <c r="A19" s="10">
        <v>7</v>
      </c>
      <c r="B19" s="40" t="s">
        <v>17</v>
      </c>
      <c r="C19" s="41"/>
      <c r="D19" s="42"/>
      <c r="E19" s="20" t="s">
        <v>18</v>
      </c>
      <c r="F19" s="6"/>
      <c r="G19" s="6"/>
      <c r="H19" s="21">
        <f>8759.5-5000-1000-612</f>
        <v>2147.5</v>
      </c>
    </row>
    <row r="20" spans="1:8" ht="59.25" customHeight="1" x14ac:dyDescent="0.25">
      <c r="A20" s="10">
        <v>8</v>
      </c>
      <c r="B20" s="40" t="s">
        <v>19</v>
      </c>
      <c r="C20" s="41"/>
      <c r="D20" s="42"/>
      <c r="E20" s="20" t="s">
        <v>20</v>
      </c>
      <c r="F20" s="6"/>
      <c r="G20" s="6"/>
      <c r="H20" s="21">
        <f>8795.6-4000-1000</f>
        <v>3795.6000000000004</v>
      </c>
    </row>
    <row r="21" spans="1:8" ht="39.75" customHeight="1" x14ac:dyDescent="0.25">
      <c r="A21" s="10">
        <v>9</v>
      </c>
      <c r="B21" s="40" t="s">
        <v>21</v>
      </c>
      <c r="C21" s="41"/>
      <c r="D21" s="42"/>
      <c r="E21" s="20" t="s">
        <v>22</v>
      </c>
      <c r="F21" s="6"/>
      <c r="G21" s="6"/>
      <c r="H21" s="21">
        <f>6136.7-2000-2000</f>
        <v>2136.6999999999998</v>
      </c>
    </row>
    <row r="22" spans="1:8" ht="69.75" customHeight="1" x14ac:dyDescent="0.25">
      <c r="A22" s="10">
        <v>10</v>
      </c>
      <c r="B22" s="40" t="s">
        <v>23</v>
      </c>
      <c r="C22" s="41"/>
      <c r="D22" s="42"/>
      <c r="E22" s="20" t="s">
        <v>24</v>
      </c>
      <c r="F22" s="6"/>
      <c r="G22" s="6"/>
      <c r="H22" s="21">
        <f>3489.1-1500</f>
        <v>1989.1</v>
      </c>
    </row>
    <row r="23" spans="1:8" ht="39.75" customHeight="1" x14ac:dyDescent="0.25">
      <c r="A23" s="10">
        <v>11</v>
      </c>
      <c r="B23" s="40" t="s">
        <v>25</v>
      </c>
      <c r="C23" s="41"/>
      <c r="D23" s="42"/>
      <c r="E23" s="20" t="s">
        <v>26</v>
      </c>
      <c r="F23" s="6"/>
      <c r="G23" s="6"/>
      <c r="H23" s="21">
        <f>2506.5-1000</f>
        <v>1506.5</v>
      </c>
    </row>
    <row r="24" spans="1:8" ht="43.5" customHeight="1" x14ac:dyDescent="0.25">
      <c r="A24" s="10">
        <v>12</v>
      </c>
      <c r="B24" s="40" t="s">
        <v>27</v>
      </c>
      <c r="C24" s="41"/>
      <c r="D24" s="42"/>
      <c r="E24" s="20" t="s">
        <v>28</v>
      </c>
      <c r="F24" s="6"/>
      <c r="G24" s="6"/>
      <c r="H24" s="21">
        <f>3795.6-2000</f>
        <v>1795.6</v>
      </c>
    </row>
    <row r="25" spans="1:8" ht="21" customHeight="1" x14ac:dyDescent="0.25">
      <c r="A25" s="36" t="s">
        <v>31</v>
      </c>
      <c r="B25" s="37"/>
      <c r="C25" s="37"/>
      <c r="D25" s="37"/>
      <c r="E25" s="38"/>
      <c r="F25" s="7"/>
      <c r="G25" s="7"/>
      <c r="H25" s="22">
        <v>20463.8</v>
      </c>
    </row>
    <row r="26" spans="1:8" ht="15.75" x14ac:dyDescent="0.25">
      <c r="A26" s="39" t="s">
        <v>46</v>
      </c>
      <c r="B26" s="39"/>
      <c r="C26" s="39"/>
      <c r="D26" s="39"/>
      <c r="E26" s="39"/>
      <c r="F26" s="7"/>
      <c r="G26" s="7"/>
      <c r="H26" s="22">
        <v>21902.400000000001</v>
      </c>
    </row>
    <row r="27" spans="1:8" ht="15.75" x14ac:dyDescent="0.25">
      <c r="A27" s="34" t="s">
        <v>32</v>
      </c>
      <c r="B27" s="35"/>
      <c r="C27" s="35"/>
      <c r="D27" s="35"/>
      <c r="E27" s="35"/>
      <c r="F27" s="35"/>
      <c r="G27" s="35"/>
      <c r="H27" s="35"/>
    </row>
    <row r="28" spans="1:8" ht="15.75" x14ac:dyDescent="0.25">
      <c r="A28" s="34" t="s">
        <v>29</v>
      </c>
      <c r="B28" s="35"/>
      <c r="C28" s="35"/>
      <c r="D28" s="35"/>
      <c r="E28" s="35"/>
      <c r="F28" s="35"/>
      <c r="G28" s="35"/>
      <c r="H28" s="35"/>
    </row>
    <row r="29" spans="1:8" ht="39.75" customHeight="1" x14ac:dyDescent="0.25">
      <c r="A29" s="10">
        <v>13</v>
      </c>
      <c r="B29" s="40" t="s">
        <v>33</v>
      </c>
      <c r="C29" s="41"/>
      <c r="D29" s="42"/>
      <c r="E29" s="20" t="s">
        <v>34</v>
      </c>
      <c r="F29" s="6"/>
      <c r="G29" s="6"/>
      <c r="H29" s="21">
        <f>7500-5000-200</f>
        <v>2300</v>
      </c>
    </row>
    <row r="30" spans="1:8" ht="39.75" customHeight="1" x14ac:dyDescent="0.25">
      <c r="A30" s="10">
        <v>14</v>
      </c>
      <c r="B30" s="40" t="s">
        <v>35</v>
      </c>
      <c r="C30" s="41"/>
      <c r="D30" s="42"/>
      <c r="E30" s="20" t="s">
        <v>36</v>
      </c>
      <c r="F30" s="6"/>
      <c r="G30" s="6"/>
      <c r="H30" s="21">
        <v>885.26441757085013</v>
      </c>
    </row>
    <row r="31" spans="1:8" ht="18" customHeight="1" x14ac:dyDescent="0.25">
      <c r="A31" s="36" t="s">
        <v>31</v>
      </c>
      <c r="B31" s="37"/>
      <c r="C31" s="37"/>
      <c r="D31" s="37"/>
      <c r="E31" s="38"/>
      <c r="F31" s="7"/>
      <c r="G31" s="7"/>
      <c r="H31" s="22">
        <v>3185.2644175708501</v>
      </c>
    </row>
    <row r="32" spans="1:8" ht="15.75" x14ac:dyDescent="0.25">
      <c r="A32" s="39" t="s">
        <v>47</v>
      </c>
      <c r="B32" s="39"/>
      <c r="C32" s="39"/>
      <c r="D32" s="39"/>
      <c r="E32" s="39"/>
      <c r="F32" s="7"/>
      <c r="G32" s="7"/>
      <c r="H32" s="22">
        <v>3185.2644175708501</v>
      </c>
    </row>
    <row r="33" spans="1:8" ht="21" customHeight="1" x14ac:dyDescent="0.25">
      <c r="A33" s="34" t="s">
        <v>37</v>
      </c>
      <c r="B33" s="35"/>
      <c r="C33" s="35"/>
      <c r="D33" s="35"/>
      <c r="E33" s="35"/>
      <c r="F33" s="35"/>
      <c r="G33" s="35"/>
      <c r="H33" s="35"/>
    </row>
    <row r="34" spans="1:8" ht="15.75" x14ac:dyDescent="0.25">
      <c r="A34" s="34" t="s">
        <v>29</v>
      </c>
      <c r="B34" s="35"/>
      <c r="C34" s="35"/>
      <c r="D34" s="35"/>
      <c r="E34" s="35"/>
      <c r="F34" s="35"/>
      <c r="G34" s="35"/>
      <c r="H34" s="35"/>
    </row>
    <row r="35" spans="1:8" ht="39.75" customHeight="1" x14ac:dyDescent="0.25">
      <c r="A35" s="10">
        <v>15</v>
      </c>
      <c r="B35" s="40" t="s">
        <v>38</v>
      </c>
      <c r="C35" s="41"/>
      <c r="D35" s="42"/>
      <c r="E35" s="20" t="s">
        <v>39</v>
      </c>
      <c r="F35" s="6"/>
      <c r="G35" s="6"/>
      <c r="H35" s="21">
        <f>2561.2-1000</f>
        <v>1561.1999999999998</v>
      </c>
    </row>
    <row r="36" spans="1:8" ht="39.75" customHeight="1" x14ac:dyDescent="0.25">
      <c r="A36" s="10">
        <v>16</v>
      </c>
      <c r="B36" s="40" t="s">
        <v>40</v>
      </c>
      <c r="C36" s="41"/>
      <c r="D36" s="42"/>
      <c r="E36" s="20" t="s">
        <v>43</v>
      </c>
      <c r="F36" s="6"/>
      <c r="G36" s="6"/>
      <c r="H36" s="21">
        <v>803.62741757085007</v>
      </c>
    </row>
    <row r="37" spans="1:8" ht="39.75" customHeight="1" x14ac:dyDescent="0.25">
      <c r="A37" s="10">
        <v>17</v>
      </c>
      <c r="B37" s="40" t="s">
        <v>41</v>
      </c>
      <c r="C37" s="41"/>
      <c r="D37" s="42"/>
      <c r="E37" s="20" t="s">
        <v>42</v>
      </c>
      <c r="F37" s="6"/>
      <c r="G37" s="6"/>
      <c r="H37" s="21">
        <v>393.32241757085012</v>
      </c>
    </row>
    <row r="38" spans="1:8" ht="39.75" customHeight="1" x14ac:dyDescent="0.25">
      <c r="A38" s="10">
        <v>18</v>
      </c>
      <c r="B38" s="40" t="s">
        <v>44</v>
      </c>
      <c r="C38" s="41"/>
      <c r="D38" s="42"/>
      <c r="E38" s="20" t="s">
        <v>45</v>
      </c>
      <c r="F38" s="6"/>
      <c r="G38" s="6"/>
      <c r="H38" s="21">
        <v>1626.8244175708501</v>
      </c>
    </row>
    <row r="39" spans="1:8" ht="18" customHeight="1" x14ac:dyDescent="0.25">
      <c r="A39" s="36" t="s">
        <v>31</v>
      </c>
      <c r="B39" s="37"/>
      <c r="C39" s="37"/>
      <c r="D39" s="37"/>
      <c r="E39" s="38"/>
      <c r="F39" s="7"/>
      <c r="G39" s="7"/>
      <c r="H39" s="22">
        <v>4384.97425271255</v>
      </c>
    </row>
    <row r="40" spans="1:8" ht="15.75" x14ac:dyDescent="0.25">
      <c r="A40" s="39" t="s">
        <v>48</v>
      </c>
      <c r="B40" s="39"/>
      <c r="C40" s="39"/>
      <c r="D40" s="39"/>
      <c r="E40" s="39"/>
      <c r="F40" s="7"/>
      <c r="G40" s="7"/>
      <c r="H40" s="22">
        <v>4384.97425271255</v>
      </c>
    </row>
    <row r="41" spans="1:8" ht="21" customHeight="1" x14ac:dyDescent="0.25">
      <c r="A41" s="34" t="s">
        <v>49</v>
      </c>
      <c r="B41" s="35"/>
      <c r="C41" s="35"/>
      <c r="D41" s="35"/>
      <c r="E41" s="35"/>
      <c r="F41" s="35"/>
      <c r="G41" s="35"/>
      <c r="H41" s="35"/>
    </row>
    <row r="42" spans="1:8" ht="15.75" x14ac:dyDescent="0.25">
      <c r="A42" s="34" t="s">
        <v>7</v>
      </c>
      <c r="B42" s="35"/>
      <c r="C42" s="35"/>
      <c r="D42" s="35"/>
      <c r="E42" s="35"/>
      <c r="F42" s="35"/>
      <c r="G42" s="35"/>
      <c r="H42" s="35"/>
    </row>
    <row r="43" spans="1:8" ht="55.5" customHeight="1" x14ac:dyDescent="0.25">
      <c r="A43" s="10">
        <v>19</v>
      </c>
      <c r="B43" s="40" t="s">
        <v>50</v>
      </c>
      <c r="C43" s="41"/>
      <c r="D43" s="42"/>
      <c r="E43" s="20" t="s">
        <v>51</v>
      </c>
      <c r="F43" s="6"/>
      <c r="G43" s="6"/>
      <c r="H43" s="21">
        <f>25000-15000-2000-3000-3000</f>
        <v>2000</v>
      </c>
    </row>
    <row r="44" spans="1:8" ht="18" customHeight="1" x14ac:dyDescent="0.25">
      <c r="A44" s="45" t="s">
        <v>30</v>
      </c>
      <c r="B44" s="46"/>
      <c r="C44" s="46"/>
      <c r="D44" s="46"/>
      <c r="E44" s="46"/>
      <c r="F44" s="7"/>
      <c r="G44" s="7"/>
      <c r="H44" s="22">
        <v>2000</v>
      </c>
    </row>
    <row r="45" spans="1:8" ht="15.75" x14ac:dyDescent="0.25">
      <c r="A45" s="34" t="s">
        <v>29</v>
      </c>
      <c r="B45" s="35"/>
      <c r="C45" s="35"/>
      <c r="D45" s="35"/>
      <c r="E45" s="35"/>
      <c r="F45" s="35"/>
      <c r="G45" s="35"/>
      <c r="H45" s="35"/>
    </row>
    <row r="46" spans="1:8" ht="39.75" customHeight="1" x14ac:dyDescent="0.25">
      <c r="A46" s="10">
        <v>20</v>
      </c>
      <c r="B46" s="40" t="s">
        <v>52</v>
      </c>
      <c r="C46" s="41"/>
      <c r="D46" s="42"/>
      <c r="E46" s="20" t="s">
        <v>53</v>
      </c>
      <c r="F46" s="6"/>
      <c r="G46" s="6"/>
      <c r="H46" s="21">
        <v>1361.6504175708501</v>
      </c>
    </row>
    <row r="47" spans="1:8" ht="53.25" customHeight="1" x14ac:dyDescent="0.25">
      <c r="A47" s="10">
        <v>21</v>
      </c>
      <c r="B47" s="40" t="s">
        <v>54</v>
      </c>
      <c r="C47" s="41"/>
      <c r="D47" s="42"/>
      <c r="E47" s="20" t="s">
        <v>55</v>
      </c>
      <c r="F47" s="6"/>
      <c r="G47" s="6"/>
      <c r="H47" s="21">
        <f>8212.69141757085-5000-800</f>
        <v>2412.6914175708498</v>
      </c>
    </row>
    <row r="48" spans="1:8" ht="53.25" customHeight="1" x14ac:dyDescent="0.25">
      <c r="A48" s="10">
        <v>22</v>
      </c>
      <c r="B48" s="40" t="s">
        <v>56</v>
      </c>
      <c r="C48" s="41"/>
      <c r="D48" s="42"/>
      <c r="E48" s="20" t="s">
        <v>57</v>
      </c>
      <c r="F48" s="6"/>
      <c r="G48" s="6"/>
      <c r="H48" s="21">
        <f>8059.19941757085-5000-900</f>
        <v>2159.1994175708496</v>
      </c>
    </row>
    <row r="49" spans="1:8" ht="39.75" customHeight="1" x14ac:dyDescent="0.25">
      <c r="A49" s="10">
        <v>23</v>
      </c>
      <c r="B49" s="40" t="s">
        <v>58</v>
      </c>
      <c r="C49" s="41"/>
      <c r="D49" s="42"/>
      <c r="E49" s="20" t="s">
        <v>59</v>
      </c>
      <c r="F49" s="6"/>
      <c r="G49" s="6"/>
      <c r="H49" s="21">
        <v>956.38692757084993</v>
      </c>
    </row>
    <row r="50" spans="1:8" ht="36" customHeight="1" x14ac:dyDescent="0.25">
      <c r="A50" s="10">
        <v>24</v>
      </c>
      <c r="B50" s="40" t="s">
        <v>60</v>
      </c>
      <c r="C50" s="41"/>
      <c r="D50" s="42"/>
      <c r="E50" s="20" t="s">
        <v>61</v>
      </c>
      <c r="F50" s="13"/>
      <c r="G50" s="13"/>
      <c r="H50" s="23">
        <f>4136.93941757085-3000</f>
        <v>1136.9394175708503</v>
      </c>
    </row>
    <row r="51" spans="1:8" ht="47.25" customHeight="1" x14ac:dyDescent="0.25">
      <c r="A51" s="10">
        <v>25</v>
      </c>
      <c r="B51" s="40" t="s">
        <v>62</v>
      </c>
      <c r="C51" s="41"/>
      <c r="D51" s="42"/>
      <c r="E51" s="20" t="s">
        <v>63</v>
      </c>
      <c r="F51" s="13"/>
      <c r="G51" s="13"/>
      <c r="H51" s="23">
        <f>3369.3-1000</f>
        <v>2369.3000000000002</v>
      </c>
    </row>
    <row r="52" spans="1:8" ht="52.5" customHeight="1" x14ac:dyDescent="0.25">
      <c r="A52" s="10">
        <v>26</v>
      </c>
      <c r="B52" s="40" t="s">
        <v>64</v>
      </c>
      <c r="C52" s="41"/>
      <c r="D52" s="42"/>
      <c r="E52" s="20" t="s">
        <v>65</v>
      </c>
      <c r="F52" s="13"/>
      <c r="G52" s="13"/>
      <c r="H52" s="23">
        <f>5967.13441757085-2500-1000</f>
        <v>2467.13441757085</v>
      </c>
    </row>
    <row r="53" spans="1:8" ht="52.5" customHeight="1" x14ac:dyDescent="0.25">
      <c r="A53" s="10">
        <v>27</v>
      </c>
      <c r="B53" s="40" t="s">
        <v>66</v>
      </c>
      <c r="C53" s="41"/>
      <c r="D53" s="42"/>
      <c r="E53" s="20" t="s">
        <v>67</v>
      </c>
      <c r="F53" s="13"/>
      <c r="G53" s="13"/>
      <c r="H53" s="23">
        <f>5604.51964757085-2500</f>
        <v>3104.5196475708499</v>
      </c>
    </row>
    <row r="54" spans="1:8" ht="52.5" customHeight="1" x14ac:dyDescent="0.25">
      <c r="A54" s="10">
        <v>28</v>
      </c>
      <c r="B54" s="40" t="s">
        <v>68</v>
      </c>
      <c r="C54" s="41"/>
      <c r="D54" s="42"/>
      <c r="E54" s="20" t="s">
        <v>69</v>
      </c>
      <c r="F54" s="13"/>
      <c r="G54" s="13"/>
      <c r="H54" s="23">
        <v>1276.1294175708501</v>
      </c>
    </row>
    <row r="55" spans="1:8" ht="52.5" customHeight="1" x14ac:dyDescent="0.25">
      <c r="A55" s="10">
        <v>29</v>
      </c>
      <c r="B55" s="40" t="s">
        <v>70</v>
      </c>
      <c r="C55" s="41"/>
      <c r="D55" s="42"/>
      <c r="E55" s="20" t="s">
        <v>71</v>
      </c>
      <c r="F55" s="13"/>
      <c r="G55" s="13"/>
      <c r="H55" s="23">
        <v>3043.6978075708494</v>
      </c>
    </row>
    <row r="56" spans="1:8" ht="52.5" customHeight="1" x14ac:dyDescent="0.25">
      <c r="A56" s="10">
        <v>30</v>
      </c>
      <c r="B56" s="40" t="s">
        <v>72</v>
      </c>
      <c r="C56" s="41"/>
      <c r="D56" s="42"/>
      <c r="E56" s="20" t="s">
        <v>73</v>
      </c>
      <c r="F56" s="13"/>
      <c r="G56" s="13"/>
      <c r="H56" s="23">
        <v>1295.5594175708502</v>
      </c>
    </row>
    <row r="57" spans="1:8" ht="52.5" customHeight="1" x14ac:dyDescent="0.25">
      <c r="A57" s="10">
        <v>31</v>
      </c>
      <c r="B57" s="40" t="s">
        <v>74</v>
      </c>
      <c r="C57" s="41"/>
      <c r="D57" s="42"/>
      <c r="E57" s="20" t="s">
        <v>75</v>
      </c>
      <c r="F57" s="13"/>
      <c r="G57" s="13"/>
      <c r="H57" s="23">
        <f>3592.02941757085-2000</f>
        <v>1592.02941757085</v>
      </c>
    </row>
    <row r="58" spans="1:8" ht="52.5" customHeight="1" x14ac:dyDescent="0.25">
      <c r="A58" s="10">
        <v>32</v>
      </c>
      <c r="B58" s="40" t="s">
        <v>76</v>
      </c>
      <c r="C58" s="41"/>
      <c r="D58" s="42"/>
      <c r="E58" s="20" t="s">
        <v>77</v>
      </c>
      <c r="F58" s="13"/>
      <c r="G58" s="13"/>
      <c r="H58" s="23">
        <v>1257.1074175708502</v>
      </c>
    </row>
    <row r="59" spans="1:8" ht="18" customHeight="1" x14ac:dyDescent="0.25">
      <c r="A59" s="36" t="s">
        <v>31</v>
      </c>
      <c r="B59" s="37"/>
      <c r="C59" s="37"/>
      <c r="D59" s="37"/>
      <c r="E59" s="38"/>
      <c r="F59" s="7"/>
      <c r="G59" s="7"/>
      <c r="H59" s="22">
        <v>24432.345140850204</v>
      </c>
    </row>
    <row r="60" spans="1:8" ht="15.75" x14ac:dyDescent="0.25">
      <c r="A60" s="39" t="s">
        <v>78</v>
      </c>
      <c r="B60" s="39"/>
      <c r="C60" s="39"/>
      <c r="D60" s="39"/>
      <c r="E60" s="39"/>
      <c r="F60" s="7"/>
      <c r="G60" s="7"/>
      <c r="H60" s="22">
        <v>26432.345140850204</v>
      </c>
    </row>
    <row r="61" spans="1:8" ht="21" customHeight="1" x14ac:dyDescent="0.25">
      <c r="A61" s="43" t="s">
        <v>79</v>
      </c>
      <c r="B61" s="44"/>
      <c r="C61" s="44"/>
      <c r="D61" s="44"/>
      <c r="E61" s="44"/>
      <c r="F61" s="44"/>
      <c r="G61" s="44"/>
      <c r="H61" s="44"/>
    </row>
    <row r="62" spans="1:8" ht="15.75" x14ac:dyDescent="0.25">
      <c r="A62" s="34" t="s">
        <v>29</v>
      </c>
      <c r="B62" s="35"/>
      <c r="C62" s="35"/>
      <c r="D62" s="35"/>
      <c r="E62" s="35"/>
      <c r="F62" s="35"/>
      <c r="G62" s="35"/>
      <c r="H62" s="35"/>
    </row>
    <row r="63" spans="1:8" ht="52.5" customHeight="1" x14ac:dyDescent="0.25">
      <c r="A63" s="10">
        <v>33</v>
      </c>
      <c r="B63" s="40" t="s">
        <v>80</v>
      </c>
      <c r="C63" s="41"/>
      <c r="D63" s="42"/>
      <c r="E63" s="20" t="s">
        <v>81</v>
      </c>
      <c r="F63" s="13"/>
      <c r="G63" s="13"/>
      <c r="H63" s="23">
        <v>1846.48</v>
      </c>
    </row>
    <row r="64" spans="1:8" ht="42.75" customHeight="1" x14ac:dyDescent="0.25">
      <c r="A64" s="10">
        <v>34</v>
      </c>
      <c r="B64" s="40" t="s">
        <v>82</v>
      </c>
      <c r="C64" s="41"/>
      <c r="D64" s="42"/>
      <c r="E64" s="20" t="s">
        <v>83</v>
      </c>
      <c r="F64" s="13"/>
      <c r="G64" s="13"/>
      <c r="H64" s="23">
        <f>5192.41141757085-3000</f>
        <v>2192.4114175708501</v>
      </c>
    </row>
    <row r="65" spans="1:8" ht="39" customHeight="1" x14ac:dyDescent="0.25">
      <c r="A65" s="10">
        <v>35</v>
      </c>
      <c r="B65" s="40" t="s">
        <v>84</v>
      </c>
      <c r="C65" s="41"/>
      <c r="D65" s="42"/>
      <c r="E65" s="20" t="s">
        <v>85</v>
      </c>
      <c r="F65" s="13"/>
      <c r="G65" s="13"/>
      <c r="H65" s="23">
        <v>903.25900000000001</v>
      </c>
    </row>
    <row r="66" spans="1:8" ht="30.75" customHeight="1" x14ac:dyDescent="0.25">
      <c r="A66" s="10">
        <v>36</v>
      </c>
      <c r="B66" s="40" t="s">
        <v>86</v>
      </c>
      <c r="C66" s="41"/>
      <c r="D66" s="42"/>
      <c r="E66" s="20" t="s">
        <v>87</v>
      </c>
      <c r="F66" s="13"/>
      <c r="G66" s="13"/>
      <c r="H66" s="23">
        <f>4515.06941757085-2000</f>
        <v>2515.0694175708504</v>
      </c>
    </row>
    <row r="67" spans="1:8" ht="39.75" customHeight="1" x14ac:dyDescent="0.25">
      <c r="A67" s="10">
        <v>37</v>
      </c>
      <c r="B67" s="40" t="s">
        <v>88</v>
      </c>
      <c r="C67" s="41"/>
      <c r="D67" s="42"/>
      <c r="E67" s="20" t="s">
        <v>89</v>
      </c>
      <c r="F67" s="13"/>
      <c r="G67" s="13"/>
      <c r="H67" s="23">
        <f>6909.68125757085-4000-1000</f>
        <v>1909.68125757085</v>
      </c>
    </row>
    <row r="68" spans="1:8" ht="44.25" customHeight="1" x14ac:dyDescent="0.25">
      <c r="A68" s="10">
        <v>38</v>
      </c>
      <c r="B68" s="40" t="s">
        <v>90</v>
      </c>
      <c r="C68" s="41"/>
      <c r="D68" s="42"/>
      <c r="E68" s="20" t="s">
        <v>91</v>
      </c>
      <c r="F68" s="13"/>
      <c r="G68" s="13"/>
      <c r="H68" s="23">
        <v>2471.6794175708501</v>
      </c>
    </row>
    <row r="69" spans="1:8" ht="18" customHeight="1" x14ac:dyDescent="0.25">
      <c r="A69" s="36" t="s">
        <v>31</v>
      </c>
      <c r="B69" s="37"/>
      <c r="C69" s="37"/>
      <c r="D69" s="37"/>
      <c r="E69" s="38"/>
      <c r="F69" s="7"/>
      <c r="G69" s="7"/>
      <c r="H69" s="22">
        <v>11838.580510283402</v>
      </c>
    </row>
    <row r="70" spans="1:8" ht="15.75" x14ac:dyDescent="0.25">
      <c r="A70" s="39" t="s">
        <v>92</v>
      </c>
      <c r="B70" s="39"/>
      <c r="C70" s="39"/>
      <c r="D70" s="39"/>
      <c r="E70" s="39"/>
      <c r="F70" s="7"/>
      <c r="G70" s="7"/>
      <c r="H70" s="22">
        <v>11838.580510283402</v>
      </c>
    </row>
    <row r="71" spans="1:8" ht="21" customHeight="1" x14ac:dyDescent="0.25">
      <c r="A71" s="43" t="s">
        <v>93</v>
      </c>
      <c r="B71" s="44"/>
      <c r="C71" s="44"/>
      <c r="D71" s="44"/>
      <c r="E71" s="44"/>
      <c r="F71" s="44"/>
      <c r="G71" s="44"/>
      <c r="H71" s="44"/>
    </row>
    <row r="72" spans="1:8" ht="15.75" x14ac:dyDescent="0.25">
      <c r="A72" s="34" t="s">
        <v>7</v>
      </c>
      <c r="B72" s="35"/>
      <c r="C72" s="35"/>
      <c r="D72" s="35"/>
      <c r="E72" s="35"/>
      <c r="F72" s="35"/>
      <c r="G72" s="35"/>
      <c r="H72" s="35"/>
    </row>
    <row r="73" spans="1:8" ht="52.5" customHeight="1" x14ac:dyDescent="0.25">
      <c r="A73" s="10">
        <v>39</v>
      </c>
      <c r="B73" s="40" t="s">
        <v>94</v>
      </c>
      <c r="C73" s="41"/>
      <c r="D73" s="42"/>
      <c r="E73" s="20" t="s">
        <v>95</v>
      </c>
      <c r="F73" s="23"/>
      <c r="G73" s="23">
        <v>1996.3</v>
      </c>
      <c r="H73" s="23">
        <f>4546.67272-2000</f>
        <v>2546.6727199999996</v>
      </c>
    </row>
    <row r="74" spans="1:8" ht="52.5" customHeight="1" x14ac:dyDescent="0.25">
      <c r="A74" s="10">
        <v>40</v>
      </c>
      <c r="B74" s="40" t="s">
        <v>96</v>
      </c>
      <c r="C74" s="41"/>
      <c r="D74" s="42"/>
      <c r="E74" s="20" t="s">
        <v>97</v>
      </c>
      <c r="F74" s="23"/>
      <c r="G74" s="23"/>
      <c r="H74" s="23">
        <f>12416.7765-7000</f>
        <v>5416.7764999999999</v>
      </c>
    </row>
    <row r="75" spans="1:8" ht="69" customHeight="1" x14ac:dyDescent="0.25">
      <c r="A75" s="10">
        <v>41</v>
      </c>
      <c r="B75" s="40" t="s">
        <v>98</v>
      </c>
      <c r="C75" s="41"/>
      <c r="D75" s="42"/>
      <c r="E75" s="20" t="s">
        <v>99</v>
      </c>
      <c r="F75" s="23"/>
      <c r="G75" s="23">
        <v>688.1</v>
      </c>
      <c r="H75" s="23">
        <f>26208.4-17208.4-2000-2000-2000-1000</f>
        <v>2000</v>
      </c>
    </row>
    <row r="76" spans="1:8" ht="18" customHeight="1" x14ac:dyDescent="0.25">
      <c r="A76" s="36" t="s">
        <v>30</v>
      </c>
      <c r="B76" s="37"/>
      <c r="C76" s="37"/>
      <c r="D76" s="37"/>
      <c r="E76" s="38"/>
      <c r="F76" s="22"/>
      <c r="G76" s="22">
        <v>2684.4</v>
      </c>
      <c r="H76" s="22">
        <v>9963.4492199999986</v>
      </c>
    </row>
    <row r="77" spans="1:8" ht="15.75" x14ac:dyDescent="0.25">
      <c r="A77" s="34" t="s">
        <v>29</v>
      </c>
      <c r="B77" s="35"/>
      <c r="C77" s="35"/>
      <c r="D77" s="35"/>
      <c r="E77" s="35"/>
      <c r="F77" s="35"/>
      <c r="G77" s="35"/>
      <c r="H77" s="35"/>
    </row>
    <row r="78" spans="1:8" ht="52.5" customHeight="1" x14ac:dyDescent="0.25">
      <c r="A78" s="10">
        <v>42</v>
      </c>
      <c r="B78" s="40" t="s">
        <v>100</v>
      </c>
      <c r="C78" s="41"/>
      <c r="D78" s="42"/>
      <c r="E78" s="20" t="s">
        <v>101</v>
      </c>
      <c r="F78" s="23"/>
      <c r="G78" s="23"/>
      <c r="H78" s="23">
        <v>1851.2306375708504</v>
      </c>
    </row>
    <row r="79" spans="1:8" ht="52.5" customHeight="1" x14ac:dyDescent="0.25">
      <c r="A79" s="10">
        <v>43</v>
      </c>
      <c r="B79" s="40" t="s">
        <v>102</v>
      </c>
      <c r="C79" s="41"/>
      <c r="D79" s="42"/>
      <c r="E79" s="20" t="s">
        <v>103</v>
      </c>
      <c r="F79" s="23"/>
      <c r="G79" s="23"/>
      <c r="H79" s="23">
        <f>3467.43-3000</f>
        <v>467.42999999999984</v>
      </c>
    </row>
    <row r="80" spans="1:8" ht="52.5" customHeight="1" x14ac:dyDescent="0.25">
      <c r="A80" s="10">
        <v>44</v>
      </c>
      <c r="B80" s="40" t="s">
        <v>104</v>
      </c>
      <c r="C80" s="41"/>
      <c r="D80" s="42"/>
      <c r="E80" s="20" t="s">
        <v>105</v>
      </c>
      <c r="F80" s="23"/>
      <c r="G80" s="23"/>
      <c r="H80" s="23">
        <f>3232.1-1000</f>
        <v>2232.1</v>
      </c>
    </row>
    <row r="81" spans="1:8" ht="52.5" customHeight="1" x14ac:dyDescent="0.25">
      <c r="A81" s="10">
        <v>45</v>
      </c>
      <c r="B81" s="40" t="s">
        <v>106</v>
      </c>
      <c r="C81" s="41"/>
      <c r="D81" s="42"/>
      <c r="E81" s="20" t="s">
        <v>107</v>
      </c>
      <c r="F81" s="23"/>
      <c r="G81" s="23"/>
      <c r="H81" s="23">
        <v>1175.8040000000001</v>
      </c>
    </row>
    <row r="82" spans="1:8" ht="52.5" customHeight="1" x14ac:dyDescent="0.25">
      <c r="A82" s="10">
        <v>46</v>
      </c>
      <c r="B82" s="40" t="s">
        <v>108</v>
      </c>
      <c r="C82" s="41"/>
      <c r="D82" s="42"/>
      <c r="E82" s="20" t="s">
        <v>109</v>
      </c>
      <c r="F82" s="23"/>
      <c r="G82" s="23"/>
      <c r="H82" s="23">
        <v>1795.90241757085</v>
      </c>
    </row>
    <row r="83" spans="1:8" ht="52.5" customHeight="1" x14ac:dyDescent="0.25">
      <c r="A83" s="10">
        <v>47</v>
      </c>
      <c r="B83" s="40" t="s">
        <v>110</v>
      </c>
      <c r="C83" s="41"/>
      <c r="D83" s="42"/>
      <c r="E83" s="20" t="s">
        <v>111</v>
      </c>
      <c r="F83" s="23"/>
      <c r="G83" s="23"/>
      <c r="H83" s="23">
        <f>2388.9-1000</f>
        <v>1388.9</v>
      </c>
    </row>
    <row r="84" spans="1:8" ht="52.5" customHeight="1" x14ac:dyDescent="0.25">
      <c r="A84" s="10">
        <v>48</v>
      </c>
      <c r="B84" s="40" t="s">
        <v>112</v>
      </c>
      <c r="C84" s="41"/>
      <c r="D84" s="42"/>
      <c r="E84" s="20" t="s">
        <v>113</v>
      </c>
      <c r="F84" s="23"/>
      <c r="G84" s="23"/>
      <c r="H84" s="23">
        <v>1275.1854575708501</v>
      </c>
    </row>
    <row r="85" spans="1:8" ht="52.5" customHeight="1" x14ac:dyDescent="0.25">
      <c r="A85" s="10">
        <v>49</v>
      </c>
      <c r="B85" s="40" t="s">
        <v>114</v>
      </c>
      <c r="C85" s="41"/>
      <c r="D85" s="42"/>
      <c r="E85" s="20" t="s">
        <v>95</v>
      </c>
      <c r="F85" s="23"/>
      <c r="G85" s="23"/>
      <c r="H85" s="23">
        <f>4369.77541757085-2000-1000</f>
        <v>1369.7754175708496</v>
      </c>
    </row>
    <row r="86" spans="1:8" ht="52.5" customHeight="1" x14ac:dyDescent="0.25">
      <c r="A86" s="10">
        <v>50</v>
      </c>
      <c r="B86" s="40" t="s">
        <v>115</v>
      </c>
      <c r="C86" s="41"/>
      <c r="D86" s="42"/>
      <c r="E86" s="20" t="s">
        <v>116</v>
      </c>
      <c r="F86" s="23"/>
      <c r="G86" s="23"/>
      <c r="H86" s="21">
        <v>1534.1394175708501</v>
      </c>
    </row>
    <row r="87" spans="1:8" ht="52.5" customHeight="1" x14ac:dyDescent="0.25">
      <c r="A87" s="10">
        <v>51</v>
      </c>
      <c r="B87" s="40" t="s">
        <v>117</v>
      </c>
      <c r="C87" s="41"/>
      <c r="D87" s="42"/>
      <c r="E87" s="20" t="s">
        <v>118</v>
      </c>
      <c r="F87" s="23"/>
      <c r="G87" s="23"/>
      <c r="H87" s="23">
        <f>4665.36859757085-3000</f>
        <v>1665.3685975708504</v>
      </c>
    </row>
    <row r="88" spans="1:8" ht="18" customHeight="1" x14ac:dyDescent="0.25">
      <c r="A88" s="36" t="s">
        <v>31</v>
      </c>
      <c r="B88" s="37"/>
      <c r="C88" s="37"/>
      <c r="D88" s="37"/>
      <c r="E88" s="38"/>
      <c r="F88" s="22"/>
      <c r="G88" s="22"/>
      <c r="H88" s="22">
        <v>14755.835945425099</v>
      </c>
    </row>
    <row r="89" spans="1:8" ht="15.75" x14ac:dyDescent="0.25">
      <c r="A89" s="39" t="s">
        <v>119</v>
      </c>
      <c r="B89" s="39"/>
      <c r="C89" s="39"/>
      <c r="D89" s="39"/>
      <c r="E89" s="39"/>
      <c r="F89" s="7"/>
      <c r="G89" s="7">
        <v>2684.4</v>
      </c>
      <c r="H89" s="7">
        <v>24719.285165425099</v>
      </c>
    </row>
    <row r="90" spans="1:8" ht="21" customHeight="1" x14ac:dyDescent="0.25">
      <c r="A90" s="43" t="s">
        <v>120</v>
      </c>
      <c r="B90" s="44"/>
      <c r="C90" s="44"/>
      <c r="D90" s="44"/>
      <c r="E90" s="44"/>
      <c r="F90" s="44"/>
      <c r="G90" s="44"/>
      <c r="H90" s="44"/>
    </row>
    <row r="91" spans="1:8" ht="15.75" x14ac:dyDescent="0.25">
      <c r="A91" s="34" t="s">
        <v>7</v>
      </c>
      <c r="B91" s="35"/>
      <c r="C91" s="35"/>
      <c r="D91" s="35"/>
      <c r="E91" s="35"/>
      <c r="F91" s="35"/>
      <c r="G91" s="35"/>
      <c r="H91" s="35"/>
    </row>
    <row r="92" spans="1:8" ht="52.5" customHeight="1" x14ac:dyDescent="0.25">
      <c r="A92" s="10">
        <v>52</v>
      </c>
      <c r="B92" s="40" t="s">
        <v>125</v>
      </c>
      <c r="C92" s="41"/>
      <c r="D92" s="42"/>
      <c r="E92" s="20" t="s">
        <v>124</v>
      </c>
      <c r="F92" s="23"/>
      <c r="G92" s="23"/>
      <c r="H92" s="23">
        <f>5412.3-3000</f>
        <v>2412.3000000000002</v>
      </c>
    </row>
    <row r="93" spans="1:8" ht="52.5" customHeight="1" x14ac:dyDescent="0.25">
      <c r="A93" s="10">
        <v>53</v>
      </c>
      <c r="B93" s="40" t="s">
        <v>121</v>
      </c>
      <c r="C93" s="41"/>
      <c r="D93" s="42"/>
      <c r="E93" s="20" t="s">
        <v>122</v>
      </c>
      <c r="F93" s="23"/>
      <c r="G93" s="23"/>
      <c r="H93" s="23">
        <f>28317.57128-20000-5000</f>
        <v>3317.5712800000001</v>
      </c>
    </row>
    <row r="94" spans="1:8" ht="52.5" customHeight="1" x14ac:dyDescent="0.25">
      <c r="A94" s="10">
        <v>54</v>
      </c>
      <c r="B94" s="40" t="s">
        <v>123</v>
      </c>
      <c r="C94" s="41"/>
      <c r="D94" s="42"/>
      <c r="E94" s="20" t="s">
        <v>124</v>
      </c>
      <c r="F94" s="23"/>
      <c r="G94" s="23"/>
      <c r="H94" s="23">
        <f>27642.8-20000-2500-3000</f>
        <v>2142.7999999999993</v>
      </c>
    </row>
    <row r="95" spans="1:8" ht="30.75" customHeight="1" x14ac:dyDescent="0.25">
      <c r="A95" s="10">
        <v>55</v>
      </c>
      <c r="B95" s="57" t="s">
        <v>735</v>
      </c>
      <c r="C95" s="57"/>
      <c r="D95" s="57"/>
      <c r="E95" s="28" t="s">
        <v>122</v>
      </c>
      <c r="F95" s="23">
        <v>10097</v>
      </c>
      <c r="G95" s="23"/>
      <c r="H95" s="23"/>
    </row>
    <row r="96" spans="1:8" ht="18" customHeight="1" x14ac:dyDescent="0.25">
      <c r="A96" s="36" t="s">
        <v>30</v>
      </c>
      <c r="B96" s="37"/>
      <c r="C96" s="37"/>
      <c r="D96" s="37"/>
      <c r="E96" s="38"/>
      <c r="F96" s="22">
        <v>10097</v>
      </c>
      <c r="G96" s="22"/>
      <c r="H96" s="22">
        <v>7872.6712799999996</v>
      </c>
    </row>
    <row r="97" spans="1:8" ht="15.75" x14ac:dyDescent="0.25">
      <c r="A97" s="34" t="s">
        <v>29</v>
      </c>
      <c r="B97" s="35"/>
      <c r="C97" s="35"/>
      <c r="D97" s="35"/>
      <c r="E97" s="35"/>
      <c r="F97" s="35"/>
      <c r="G97" s="35"/>
      <c r="H97" s="35"/>
    </row>
    <row r="98" spans="1:8" ht="52.5" customHeight="1" x14ac:dyDescent="0.25">
      <c r="A98" s="10">
        <v>56</v>
      </c>
      <c r="B98" s="40" t="s">
        <v>126</v>
      </c>
      <c r="C98" s="41"/>
      <c r="D98" s="42"/>
      <c r="E98" s="20" t="s">
        <v>127</v>
      </c>
      <c r="F98" s="23"/>
      <c r="G98" s="23"/>
      <c r="H98" s="23">
        <f>8376.93941757085-5000-900</f>
        <v>2476.9394175708494</v>
      </c>
    </row>
    <row r="99" spans="1:8" ht="52.5" customHeight="1" x14ac:dyDescent="0.25">
      <c r="A99" s="10">
        <v>57</v>
      </c>
      <c r="B99" s="40" t="s">
        <v>128</v>
      </c>
      <c r="C99" s="41"/>
      <c r="D99" s="42"/>
      <c r="E99" s="20" t="s">
        <v>129</v>
      </c>
      <c r="F99" s="23"/>
      <c r="G99" s="23"/>
      <c r="H99" s="23">
        <f>7500-5000</f>
        <v>2500</v>
      </c>
    </row>
    <row r="100" spans="1:8" ht="42" customHeight="1" x14ac:dyDescent="0.25">
      <c r="A100" s="10">
        <v>58</v>
      </c>
      <c r="B100" s="40" t="s">
        <v>130</v>
      </c>
      <c r="C100" s="41"/>
      <c r="D100" s="42"/>
      <c r="E100" s="20" t="s">
        <v>131</v>
      </c>
      <c r="F100" s="23"/>
      <c r="G100" s="23"/>
      <c r="H100" s="23">
        <f>5293.232-3000</f>
        <v>2293.232</v>
      </c>
    </row>
    <row r="101" spans="1:8" ht="39" customHeight="1" x14ac:dyDescent="0.25">
      <c r="A101" s="10">
        <v>59</v>
      </c>
      <c r="B101" s="40" t="s">
        <v>132</v>
      </c>
      <c r="C101" s="41"/>
      <c r="D101" s="42"/>
      <c r="E101" s="20" t="s">
        <v>133</v>
      </c>
      <c r="F101" s="23"/>
      <c r="G101" s="23"/>
      <c r="H101" s="23">
        <f>5459.12841757085-2500-1000</f>
        <v>1959.1284175708497</v>
      </c>
    </row>
    <row r="102" spans="1:8" ht="45" customHeight="1" x14ac:dyDescent="0.25">
      <c r="A102" s="10">
        <v>60</v>
      </c>
      <c r="B102" s="40" t="s">
        <v>134</v>
      </c>
      <c r="C102" s="41"/>
      <c r="D102" s="42"/>
      <c r="E102" s="20" t="s">
        <v>124</v>
      </c>
      <c r="F102" s="23"/>
      <c r="G102" s="23"/>
      <c r="H102" s="23">
        <f>8795.55941757085-5000-1000-1000</f>
        <v>1795.5594175708502</v>
      </c>
    </row>
    <row r="103" spans="1:8" ht="46.5" customHeight="1" x14ac:dyDescent="0.25">
      <c r="A103" s="10">
        <v>61</v>
      </c>
      <c r="B103" s="40" t="s">
        <v>135</v>
      </c>
      <c r="C103" s="41"/>
      <c r="D103" s="42"/>
      <c r="E103" s="20" t="s">
        <v>136</v>
      </c>
      <c r="F103" s="23"/>
      <c r="G103" s="23"/>
      <c r="H103" s="23">
        <f>4855.55941757085-2000-1000</f>
        <v>1855.5594175708502</v>
      </c>
    </row>
    <row r="104" spans="1:8" ht="52.5" customHeight="1" x14ac:dyDescent="0.25">
      <c r="A104" s="10">
        <v>62</v>
      </c>
      <c r="B104" s="40" t="s">
        <v>137</v>
      </c>
      <c r="C104" s="41"/>
      <c r="D104" s="42"/>
      <c r="E104" s="20" t="s">
        <v>138</v>
      </c>
      <c r="F104" s="23"/>
      <c r="G104" s="23"/>
      <c r="H104" s="23">
        <f>2875.99541757085-1000</f>
        <v>1875.9954175708499</v>
      </c>
    </row>
    <row r="105" spans="1:8" ht="52.5" customHeight="1" x14ac:dyDescent="0.25">
      <c r="A105" s="10">
        <v>63</v>
      </c>
      <c r="B105" s="40" t="s">
        <v>139</v>
      </c>
      <c r="C105" s="41"/>
      <c r="D105" s="42"/>
      <c r="E105" s="20" t="s">
        <v>140</v>
      </c>
      <c r="F105" s="23"/>
      <c r="G105" s="23"/>
      <c r="H105" s="23">
        <v>1340.7777675708503</v>
      </c>
    </row>
    <row r="106" spans="1:8" ht="18" customHeight="1" x14ac:dyDescent="0.25">
      <c r="A106" s="36" t="s">
        <v>31</v>
      </c>
      <c r="B106" s="37"/>
      <c r="C106" s="37"/>
      <c r="D106" s="37"/>
      <c r="E106" s="38"/>
      <c r="F106" s="22"/>
      <c r="G106" s="22"/>
      <c r="H106" s="22">
        <v>16097.191855425099</v>
      </c>
    </row>
    <row r="107" spans="1:8" ht="15.75" x14ac:dyDescent="0.25">
      <c r="A107" s="39" t="s">
        <v>141</v>
      </c>
      <c r="B107" s="39"/>
      <c r="C107" s="39"/>
      <c r="D107" s="39"/>
      <c r="E107" s="39"/>
      <c r="F107" s="22">
        <v>10097</v>
      </c>
      <c r="G107" s="22"/>
      <c r="H107" s="22">
        <v>23969.863135425097</v>
      </c>
    </row>
    <row r="108" spans="1:8" ht="21" customHeight="1" x14ac:dyDescent="0.25">
      <c r="A108" s="43" t="s">
        <v>142</v>
      </c>
      <c r="B108" s="44"/>
      <c r="C108" s="44"/>
      <c r="D108" s="44"/>
      <c r="E108" s="44"/>
      <c r="F108" s="44"/>
      <c r="G108" s="44"/>
      <c r="H108" s="44"/>
    </row>
    <row r="109" spans="1:8" ht="15.75" x14ac:dyDescent="0.25">
      <c r="A109" s="34" t="s">
        <v>7</v>
      </c>
      <c r="B109" s="35"/>
      <c r="C109" s="35"/>
      <c r="D109" s="35"/>
      <c r="E109" s="35"/>
      <c r="F109" s="35"/>
      <c r="G109" s="35"/>
      <c r="H109" s="35"/>
    </row>
    <row r="110" spans="1:8" ht="36.75" customHeight="1" x14ac:dyDescent="0.25">
      <c r="A110" s="10">
        <v>64</v>
      </c>
      <c r="B110" s="40" t="s">
        <v>143</v>
      </c>
      <c r="C110" s="41"/>
      <c r="D110" s="42"/>
      <c r="E110" s="20" t="s">
        <v>144</v>
      </c>
      <c r="F110" s="13"/>
      <c r="G110" s="13"/>
      <c r="H110" s="23">
        <f>10500.516245-5000-1000-2000</f>
        <v>2500.5162450000007</v>
      </c>
    </row>
    <row r="111" spans="1:8" ht="18" customHeight="1" x14ac:dyDescent="0.25">
      <c r="A111" s="36" t="s">
        <v>30</v>
      </c>
      <c r="B111" s="37"/>
      <c r="C111" s="37"/>
      <c r="D111" s="37"/>
      <c r="E111" s="38"/>
      <c r="F111" s="7"/>
      <c r="G111" s="7"/>
      <c r="H111" s="22">
        <v>2500.5162450000007</v>
      </c>
    </row>
    <row r="112" spans="1:8" ht="15.75" x14ac:dyDescent="0.25">
      <c r="A112" s="34" t="s">
        <v>29</v>
      </c>
      <c r="B112" s="35"/>
      <c r="C112" s="35"/>
      <c r="D112" s="35"/>
      <c r="E112" s="35"/>
      <c r="F112" s="35"/>
      <c r="G112" s="35"/>
      <c r="H112" s="35"/>
    </row>
    <row r="113" spans="1:8" ht="52.5" customHeight="1" x14ac:dyDescent="0.25">
      <c r="A113" s="10">
        <v>65</v>
      </c>
      <c r="B113" s="40" t="s">
        <v>145</v>
      </c>
      <c r="C113" s="41"/>
      <c r="D113" s="42"/>
      <c r="E113" s="20" t="s">
        <v>146</v>
      </c>
      <c r="F113" s="23"/>
      <c r="G113" s="23"/>
      <c r="H113" s="23">
        <v>2182.6674175708499</v>
      </c>
    </row>
    <row r="114" spans="1:8" ht="52.5" customHeight="1" x14ac:dyDescent="0.25">
      <c r="A114" s="10">
        <v>66</v>
      </c>
      <c r="B114" s="40" t="s">
        <v>147</v>
      </c>
      <c r="C114" s="41"/>
      <c r="D114" s="42"/>
      <c r="E114" s="20" t="s">
        <v>148</v>
      </c>
      <c r="F114" s="23"/>
      <c r="G114" s="23"/>
      <c r="H114" s="23">
        <f>2468-1000</f>
        <v>1468</v>
      </c>
    </row>
    <row r="115" spans="1:8" ht="52.5" customHeight="1" x14ac:dyDescent="0.25">
      <c r="A115" s="10">
        <v>67</v>
      </c>
      <c r="B115" s="40" t="s">
        <v>149</v>
      </c>
      <c r="C115" s="41"/>
      <c r="D115" s="42"/>
      <c r="E115" s="20" t="s">
        <v>150</v>
      </c>
      <c r="F115" s="23"/>
      <c r="G115" s="23"/>
      <c r="H115" s="23">
        <f>5541.00441757085-2000-1500</f>
        <v>2041.0044175708499</v>
      </c>
    </row>
    <row r="116" spans="1:8" ht="35.25" customHeight="1" x14ac:dyDescent="0.25">
      <c r="A116" s="10">
        <v>68</v>
      </c>
      <c r="B116" s="40" t="s">
        <v>151</v>
      </c>
      <c r="C116" s="41"/>
      <c r="D116" s="42"/>
      <c r="E116" s="20" t="s">
        <v>144</v>
      </c>
      <c r="F116" s="23"/>
      <c r="G116" s="23"/>
      <c r="H116" s="23">
        <f>8794.44208757085-5000-1500-1000</f>
        <v>1294.4420875708493</v>
      </c>
    </row>
    <row r="117" spans="1:8" ht="52.5" customHeight="1" x14ac:dyDescent="0.25">
      <c r="A117" s="10">
        <v>69</v>
      </c>
      <c r="B117" s="40" t="s">
        <v>152</v>
      </c>
      <c r="C117" s="41"/>
      <c r="D117" s="42"/>
      <c r="E117" s="20" t="s">
        <v>153</v>
      </c>
      <c r="F117" s="23"/>
      <c r="G117" s="23"/>
      <c r="H117" s="23">
        <f>3448.62741757085-2000</f>
        <v>1448.62741757085</v>
      </c>
    </row>
    <row r="118" spans="1:8" ht="52.5" customHeight="1" x14ac:dyDescent="0.25">
      <c r="A118" s="10">
        <v>70</v>
      </c>
      <c r="B118" s="40" t="s">
        <v>154</v>
      </c>
      <c r="C118" s="41"/>
      <c r="D118" s="42"/>
      <c r="E118" s="20" t="s">
        <v>155</v>
      </c>
      <c r="F118" s="23"/>
      <c r="G118" s="23"/>
      <c r="H118" s="23">
        <f>2933.75941757085-1500</f>
        <v>1433.75941757085</v>
      </c>
    </row>
    <row r="119" spans="1:8" ht="18" customHeight="1" x14ac:dyDescent="0.25">
      <c r="A119" s="36" t="s">
        <v>31</v>
      </c>
      <c r="B119" s="37"/>
      <c r="C119" s="37"/>
      <c r="D119" s="37"/>
      <c r="E119" s="38"/>
      <c r="F119" s="22"/>
      <c r="G119" s="22"/>
      <c r="H119" s="22">
        <v>9868.50075785425</v>
      </c>
    </row>
    <row r="120" spans="1:8" ht="15.75" x14ac:dyDescent="0.25">
      <c r="A120" s="39" t="s">
        <v>156</v>
      </c>
      <c r="B120" s="39"/>
      <c r="C120" s="39"/>
      <c r="D120" s="39"/>
      <c r="E120" s="39"/>
      <c r="F120" s="22"/>
      <c r="G120" s="22"/>
      <c r="H120" s="22">
        <v>12369.017002854251</v>
      </c>
    </row>
    <row r="121" spans="1:8" ht="18" customHeight="1" x14ac:dyDescent="0.25">
      <c r="A121" s="43" t="s">
        <v>157</v>
      </c>
      <c r="B121" s="44"/>
      <c r="C121" s="44"/>
      <c r="D121" s="44"/>
      <c r="E121" s="44"/>
      <c r="F121" s="44"/>
      <c r="G121" s="44"/>
      <c r="H121" s="44"/>
    </row>
    <row r="122" spans="1:8" ht="15.75" x14ac:dyDescent="0.25">
      <c r="A122" s="34" t="s">
        <v>29</v>
      </c>
      <c r="B122" s="35"/>
      <c r="C122" s="35"/>
      <c r="D122" s="35"/>
      <c r="E122" s="35"/>
      <c r="F122" s="35"/>
      <c r="G122" s="35"/>
      <c r="H122" s="35"/>
    </row>
    <row r="123" spans="1:8" ht="52.5" customHeight="1" x14ac:dyDescent="0.25">
      <c r="A123" s="10">
        <v>71</v>
      </c>
      <c r="B123" s="40" t="s">
        <v>158</v>
      </c>
      <c r="C123" s="41"/>
      <c r="D123" s="42"/>
      <c r="E123" s="20" t="s">
        <v>159</v>
      </c>
      <c r="F123" s="23"/>
      <c r="G123" s="23"/>
      <c r="H123" s="23">
        <f>4365.12725757085-2500</f>
        <v>1865.1272575708499</v>
      </c>
    </row>
    <row r="124" spans="1:8" ht="52.5" customHeight="1" x14ac:dyDescent="0.25">
      <c r="A124" s="10">
        <v>72</v>
      </c>
      <c r="B124" s="40" t="s">
        <v>160</v>
      </c>
      <c r="C124" s="41"/>
      <c r="D124" s="42"/>
      <c r="E124" s="20" t="s">
        <v>161</v>
      </c>
      <c r="F124" s="23"/>
      <c r="G124" s="23"/>
      <c r="H124" s="23">
        <f>8627.78821757085-5000-2000</f>
        <v>1627.7882175708492</v>
      </c>
    </row>
    <row r="125" spans="1:8" ht="33" customHeight="1" x14ac:dyDescent="0.25">
      <c r="A125" s="10">
        <v>73</v>
      </c>
      <c r="B125" s="40" t="s">
        <v>162</v>
      </c>
      <c r="C125" s="41"/>
      <c r="D125" s="42"/>
      <c r="E125" s="20" t="s">
        <v>163</v>
      </c>
      <c r="F125" s="23"/>
      <c r="G125" s="23"/>
      <c r="H125" s="23">
        <v>847.03555757084996</v>
      </c>
    </row>
    <row r="126" spans="1:8" ht="37.5" customHeight="1" x14ac:dyDescent="0.25">
      <c r="A126" s="10">
        <v>74</v>
      </c>
      <c r="B126" s="40" t="s">
        <v>164</v>
      </c>
      <c r="C126" s="41"/>
      <c r="D126" s="42"/>
      <c r="E126" s="20" t="s">
        <v>165</v>
      </c>
      <c r="F126" s="23"/>
      <c r="G126" s="23"/>
      <c r="H126" s="23">
        <f>6154.40941757085-3500-1000</f>
        <v>1654.4094175708497</v>
      </c>
    </row>
    <row r="127" spans="1:8" ht="52.5" customHeight="1" x14ac:dyDescent="0.25">
      <c r="A127" s="10">
        <v>75</v>
      </c>
      <c r="B127" s="40" t="s">
        <v>166</v>
      </c>
      <c r="C127" s="41"/>
      <c r="D127" s="42"/>
      <c r="E127" s="20" t="s">
        <v>167</v>
      </c>
      <c r="F127" s="23"/>
      <c r="G127" s="23"/>
      <c r="H127" s="23">
        <f>5994.98405757085-3500-1000</f>
        <v>1494.9840575708504</v>
      </c>
    </row>
    <row r="128" spans="1:8" ht="52.5" customHeight="1" x14ac:dyDescent="0.25">
      <c r="A128" s="10">
        <v>76</v>
      </c>
      <c r="B128" s="40" t="s">
        <v>168</v>
      </c>
      <c r="C128" s="41"/>
      <c r="D128" s="42"/>
      <c r="E128" s="20" t="s">
        <v>169</v>
      </c>
      <c r="F128" s="23"/>
      <c r="G128" s="23"/>
      <c r="H128" s="23">
        <f>2926.5-1000</f>
        <v>1926.5</v>
      </c>
    </row>
    <row r="129" spans="1:8" ht="52.5" customHeight="1" x14ac:dyDescent="0.25">
      <c r="A129" s="10">
        <v>77</v>
      </c>
      <c r="B129" s="40" t="s">
        <v>170</v>
      </c>
      <c r="C129" s="41"/>
      <c r="D129" s="42"/>
      <c r="E129" s="20" t="s">
        <v>171</v>
      </c>
      <c r="F129" s="23"/>
      <c r="G129" s="23"/>
      <c r="H129" s="23">
        <f>8795.55941757085-5000-2000</f>
        <v>1795.5594175708502</v>
      </c>
    </row>
    <row r="130" spans="1:8" ht="52.5" customHeight="1" x14ac:dyDescent="0.25">
      <c r="A130" s="10">
        <v>78</v>
      </c>
      <c r="B130" s="40" t="s">
        <v>172</v>
      </c>
      <c r="C130" s="41"/>
      <c r="D130" s="42"/>
      <c r="E130" s="20" t="s">
        <v>173</v>
      </c>
      <c r="F130" s="23"/>
      <c r="G130" s="23"/>
      <c r="H130" s="23">
        <f>8795.55941757085-5000-2000</f>
        <v>1795.5594175708502</v>
      </c>
    </row>
    <row r="131" spans="1:8" ht="52.5" customHeight="1" x14ac:dyDescent="0.25">
      <c r="A131" s="10">
        <v>79</v>
      </c>
      <c r="B131" s="40" t="s">
        <v>174</v>
      </c>
      <c r="C131" s="41"/>
      <c r="D131" s="42"/>
      <c r="E131" s="20" t="s">
        <v>175</v>
      </c>
      <c r="F131" s="23"/>
      <c r="G131" s="23"/>
      <c r="H131" s="23">
        <v>862.27241757085017</v>
      </c>
    </row>
    <row r="132" spans="1:8" ht="32.25" customHeight="1" x14ac:dyDescent="0.25">
      <c r="A132" s="10">
        <v>80</v>
      </c>
      <c r="B132" s="40" t="s">
        <v>176</v>
      </c>
      <c r="C132" s="41"/>
      <c r="D132" s="42"/>
      <c r="E132" s="20" t="s">
        <v>177</v>
      </c>
      <c r="F132" s="23"/>
      <c r="G132" s="23"/>
      <c r="H132" s="23">
        <f>8795.55941757085-5000-1000-1000</f>
        <v>1795.5594175708502</v>
      </c>
    </row>
    <row r="133" spans="1:8" ht="52.5" customHeight="1" x14ac:dyDescent="0.25">
      <c r="A133" s="10">
        <v>81</v>
      </c>
      <c r="B133" s="40" t="s">
        <v>178</v>
      </c>
      <c r="C133" s="41"/>
      <c r="D133" s="42"/>
      <c r="E133" s="20" t="s">
        <v>179</v>
      </c>
      <c r="F133" s="23"/>
      <c r="G133" s="23"/>
      <c r="H133" s="23">
        <f>7657.44741757085-4500-1000-1000</f>
        <v>1157.4474175708501</v>
      </c>
    </row>
    <row r="134" spans="1:8" ht="52.5" customHeight="1" x14ac:dyDescent="0.25">
      <c r="A134" s="10">
        <v>82</v>
      </c>
      <c r="B134" s="40" t="s">
        <v>180</v>
      </c>
      <c r="C134" s="41"/>
      <c r="D134" s="42"/>
      <c r="E134" s="20" t="s">
        <v>181</v>
      </c>
      <c r="F134" s="23"/>
      <c r="G134" s="23"/>
      <c r="H134" s="23">
        <v>1368.6594175708501</v>
      </c>
    </row>
    <row r="135" spans="1:8" ht="18" customHeight="1" x14ac:dyDescent="0.25">
      <c r="A135" s="36" t="s">
        <v>31</v>
      </c>
      <c r="B135" s="37"/>
      <c r="C135" s="37"/>
      <c r="D135" s="37"/>
      <c r="E135" s="38"/>
      <c r="F135" s="22"/>
      <c r="G135" s="22"/>
      <c r="H135" s="22">
        <v>18190.902013279348</v>
      </c>
    </row>
    <row r="136" spans="1:8" ht="15.75" x14ac:dyDescent="0.25">
      <c r="A136" s="39" t="s">
        <v>182</v>
      </c>
      <c r="B136" s="39"/>
      <c r="C136" s="39"/>
      <c r="D136" s="39"/>
      <c r="E136" s="39"/>
      <c r="F136" s="22"/>
      <c r="G136" s="22"/>
      <c r="H136" s="22">
        <v>18190.902013279348</v>
      </c>
    </row>
    <row r="137" spans="1:8" ht="21" customHeight="1" x14ac:dyDescent="0.25">
      <c r="A137" s="43" t="s">
        <v>183</v>
      </c>
      <c r="B137" s="44"/>
      <c r="C137" s="44"/>
      <c r="D137" s="44"/>
      <c r="E137" s="44"/>
      <c r="F137" s="44"/>
      <c r="G137" s="44"/>
      <c r="H137" s="44"/>
    </row>
    <row r="138" spans="1:8" ht="20.25" customHeight="1" x14ac:dyDescent="0.25">
      <c r="A138" s="34" t="s">
        <v>7</v>
      </c>
      <c r="B138" s="35"/>
      <c r="C138" s="35"/>
      <c r="D138" s="35"/>
      <c r="E138" s="35"/>
      <c r="F138" s="35"/>
      <c r="G138" s="35"/>
      <c r="H138" s="35"/>
    </row>
    <row r="139" spans="1:8" ht="103.5" customHeight="1" x14ac:dyDescent="0.25">
      <c r="A139" s="10">
        <v>83</v>
      </c>
      <c r="B139" s="40" t="s">
        <v>184</v>
      </c>
      <c r="C139" s="41"/>
      <c r="D139" s="42"/>
      <c r="E139" s="20" t="s">
        <v>186</v>
      </c>
      <c r="F139" s="13"/>
      <c r="G139" s="13"/>
      <c r="H139" s="23">
        <f>6343.406-3500-1000</f>
        <v>1843.4059999999999</v>
      </c>
    </row>
    <row r="140" spans="1:8" ht="18" customHeight="1" x14ac:dyDescent="0.25">
      <c r="A140" s="36" t="s">
        <v>30</v>
      </c>
      <c r="B140" s="37"/>
      <c r="C140" s="37"/>
      <c r="D140" s="37"/>
      <c r="E140" s="38"/>
      <c r="F140" s="7"/>
      <c r="G140" s="7"/>
      <c r="H140" s="22">
        <v>1843.4059999999999</v>
      </c>
    </row>
    <row r="141" spans="1:8" ht="15.75" x14ac:dyDescent="0.25">
      <c r="A141" s="34" t="s">
        <v>29</v>
      </c>
      <c r="B141" s="35"/>
      <c r="C141" s="35"/>
      <c r="D141" s="35"/>
      <c r="E141" s="35"/>
      <c r="F141" s="35"/>
      <c r="G141" s="35"/>
      <c r="H141" s="35"/>
    </row>
    <row r="142" spans="1:8" ht="52.5" customHeight="1" x14ac:dyDescent="0.25">
      <c r="A142" s="10">
        <v>84</v>
      </c>
      <c r="B142" s="40" t="s">
        <v>185</v>
      </c>
      <c r="C142" s="41"/>
      <c r="D142" s="42"/>
      <c r="E142" s="20" t="s">
        <v>187</v>
      </c>
      <c r="F142" s="23"/>
      <c r="G142" s="23"/>
      <c r="H142" s="23">
        <f>8470.36153757085-5500-1000</f>
        <v>1970.3615375708505</v>
      </c>
    </row>
    <row r="143" spans="1:8" ht="52.5" customHeight="1" x14ac:dyDescent="0.25">
      <c r="A143" s="10">
        <v>85</v>
      </c>
      <c r="B143" s="40" t="s">
        <v>188</v>
      </c>
      <c r="C143" s="41"/>
      <c r="D143" s="42"/>
      <c r="E143" s="20" t="s">
        <v>189</v>
      </c>
      <c r="F143" s="23"/>
      <c r="G143" s="23"/>
      <c r="H143" s="23">
        <v>919.46</v>
      </c>
    </row>
    <row r="144" spans="1:8" ht="52.5" customHeight="1" x14ac:dyDescent="0.25">
      <c r="A144" s="10">
        <v>86</v>
      </c>
      <c r="B144" s="40" t="s">
        <v>190</v>
      </c>
      <c r="C144" s="41"/>
      <c r="D144" s="42"/>
      <c r="E144" s="20" t="s">
        <v>191</v>
      </c>
      <c r="F144" s="23"/>
      <c r="G144" s="23"/>
      <c r="H144" s="23">
        <f>7500-4000-1000-1000</f>
        <v>1500</v>
      </c>
    </row>
    <row r="145" spans="1:8" ht="45.75" customHeight="1" x14ac:dyDescent="0.25">
      <c r="A145" s="10">
        <v>87</v>
      </c>
      <c r="B145" s="40" t="s">
        <v>192</v>
      </c>
      <c r="C145" s="41"/>
      <c r="D145" s="42"/>
      <c r="E145" s="20" t="s">
        <v>193</v>
      </c>
      <c r="F145" s="23"/>
      <c r="G145" s="23"/>
      <c r="H145" s="23">
        <f>5521.87851-3500</f>
        <v>2021.8785099999996</v>
      </c>
    </row>
    <row r="146" spans="1:8" ht="52.5" customHeight="1" x14ac:dyDescent="0.25">
      <c r="A146" s="10">
        <v>88</v>
      </c>
      <c r="B146" s="40" t="s">
        <v>194</v>
      </c>
      <c r="C146" s="41"/>
      <c r="D146" s="42"/>
      <c r="E146" s="20" t="s">
        <v>195</v>
      </c>
      <c r="F146" s="23"/>
      <c r="G146" s="23"/>
      <c r="H146" s="23">
        <f>8695.45419757085-4000-1000-1000-500</f>
        <v>2195.4541975708507</v>
      </c>
    </row>
    <row r="147" spans="1:8" ht="52.5" customHeight="1" x14ac:dyDescent="0.25">
      <c r="A147" s="10">
        <v>89</v>
      </c>
      <c r="B147" s="40" t="s">
        <v>196</v>
      </c>
      <c r="C147" s="41"/>
      <c r="D147" s="42"/>
      <c r="E147" s="20" t="s">
        <v>197</v>
      </c>
      <c r="F147" s="23"/>
      <c r="G147" s="23"/>
      <c r="H147" s="23">
        <f>3293.47241757085-1000-500</f>
        <v>1793.4724175708502</v>
      </c>
    </row>
    <row r="148" spans="1:8" ht="52.5" customHeight="1" x14ac:dyDescent="0.25">
      <c r="A148" s="10">
        <v>90</v>
      </c>
      <c r="B148" s="40" t="s">
        <v>198</v>
      </c>
      <c r="C148" s="41"/>
      <c r="D148" s="42"/>
      <c r="E148" s="20" t="s">
        <v>199</v>
      </c>
      <c r="F148" s="23"/>
      <c r="G148" s="23"/>
      <c r="H148" s="23">
        <f>3040.47641757085-1500</f>
        <v>1540.4764175708501</v>
      </c>
    </row>
    <row r="149" spans="1:8" ht="18" customHeight="1" x14ac:dyDescent="0.25">
      <c r="A149" s="36" t="s">
        <v>31</v>
      </c>
      <c r="B149" s="37"/>
      <c r="C149" s="37"/>
      <c r="D149" s="37"/>
      <c r="E149" s="38"/>
      <c r="F149" s="22"/>
      <c r="G149" s="22"/>
      <c r="H149" s="22">
        <v>11941.103080283401</v>
      </c>
    </row>
    <row r="150" spans="1:8" ht="15.75" x14ac:dyDescent="0.25">
      <c r="A150" s="39" t="s">
        <v>200</v>
      </c>
      <c r="B150" s="39"/>
      <c r="C150" s="39"/>
      <c r="D150" s="39"/>
      <c r="E150" s="39"/>
      <c r="F150" s="22"/>
      <c r="G150" s="22"/>
      <c r="H150" s="22">
        <v>13784.509080283402</v>
      </c>
    </row>
    <row r="151" spans="1:8" ht="21" customHeight="1" x14ac:dyDescent="0.25">
      <c r="A151" s="43" t="s">
        <v>201</v>
      </c>
      <c r="B151" s="44"/>
      <c r="C151" s="44"/>
      <c r="D151" s="44"/>
      <c r="E151" s="44"/>
      <c r="F151" s="44"/>
      <c r="G151" s="44"/>
      <c r="H151" s="44"/>
    </row>
    <row r="152" spans="1:8" ht="20.25" customHeight="1" x14ac:dyDescent="0.25">
      <c r="A152" s="34" t="s">
        <v>29</v>
      </c>
      <c r="B152" s="35"/>
      <c r="C152" s="35"/>
      <c r="D152" s="35"/>
      <c r="E152" s="35"/>
      <c r="F152" s="35"/>
      <c r="G152" s="35"/>
      <c r="H152" s="35"/>
    </row>
    <row r="153" spans="1:8" ht="52.5" customHeight="1" x14ac:dyDescent="0.25">
      <c r="A153" s="10">
        <v>91</v>
      </c>
      <c r="B153" s="40" t="s">
        <v>202</v>
      </c>
      <c r="C153" s="41"/>
      <c r="D153" s="42"/>
      <c r="E153" s="20" t="s">
        <v>203</v>
      </c>
      <c r="F153" s="13"/>
      <c r="G153" s="13"/>
      <c r="H153" s="13">
        <f>8795.55941757085-4000-1000-2000</f>
        <v>1795.5594175708502</v>
      </c>
    </row>
    <row r="154" spans="1:8" ht="52.5" customHeight="1" x14ac:dyDescent="0.25">
      <c r="A154" s="10">
        <v>92</v>
      </c>
      <c r="B154" s="40" t="s">
        <v>204</v>
      </c>
      <c r="C154" s="41"/>
      <c r="D154" s="42"/>
      <c r="E154" s="20" t="s">
        <v>205</v>
      </c>
      <c r="F154" s="13"/>
      <c r="G154" s="13"/>
      <c r="H154" s="13">
        <f>4487.62041757085-2800</f>
        <v>1687.6204175708499</v>
      </c>
    </row>
    <row r="155" spans="1:8" ht="45" customHeight="1" x14ac:dyDescent="0.25">
      <c r="A155" s="10">
        <v>93</v>
      </c>
      <c r="B155" s="40" t="s">
        <v>206</v>
      </c>
      <c r="C155" s="41"/>
      <c r="D155" s="42"/>
      <c r="E155" s="20" t="s">
        <v>207</v>
      </c>
      <c r="F155" s="23"/>
      <c r="G155" s="23"/>
      <c r="H155" s="23">
        <f>6319.76449757085-3500-1000</f>
        <v>1819.7644975708499</v>
      </c>
    </row>
    <row r="156" spans="1:8" ht="42.75" customHeight="1" x14ac:dyDescent="0.25">
      <c r="A156" s="10">
        <v>94</v>
      </c>
      <c r="B156" s="40" t="s">
        <v>208</v>
      </c>
      <c r="C156" s="41"/>
      <c r="D156" s="42"/>
      <c r="E156" s="20" t="s">
        <v>209</v>
      </c>
      <c r="F156" s="23"/>
      <c r="G156" s="23"/>
      <c r="H156" s="23">
        <f>8150.49847757085-5000-1000-700</f>
        <v>1450.4984775708499</v>
      </c>
    </row>
    <row r="157" spans="1:8" ht="42" customHeight="1" x14ac:dyDescent="0.25">
      <c r="A157" s="10">
        <v>95</v>
      </c>
      <c r="B157" s="40" t="s">
        <v>210</v>
      </c>
      <c r="C157" s="41"/>
      <c r="D157" s="42"/>
      <c r="E157" s="20" t="s">
        <v>211</v>
      </c>
      <c r="F157" s="23"/>
      <c r="G157" s="23"/>
      <c r="H157" s="23">
        <f>3859.76341757085-2000</f>
        <v>1859.7634175708499</v>
      </c>
    </row>
    <row r="158" spans="1:8" ht="33.75" customHeight="1" x14ac:dyDescent="0.25">
      <c r="A158" s="10">
        <v>96</v>
      </c>
      <c r="B158" s="40" t="s">
        <v>212</v>
      </c>
      <c r="C158" s="41"/>
      <c r="D158" s="42"/>
      <c r="E158" s="20" t="s">
        <v>213</v>
      </c>
      <c r="F158" s="23"/>
      <c r="G158" s="23"/>
      <c r="H158" s="23">
        <f>8748.26141757085-5500-2000</f>
        <v>1248.2614175708495</v>
      </c>
    </row>
    <row r="159" spans="1:8" ht="39" customHeight="1" x14ac:dyDescent="0.25">
      <c r="A159" s="10">
        <v>97</v>
      </c>
      <c r="B159" s="40" t="s">
        <v>214</v>
      </c>
      <c r="C159" s="41"/>
      <c r="D159" s="42"/>
      <c r="E159" s="20" t="s">
        <v>215</v>
      </c>
      <c r="F159" s="23"/>
      <c r="G159" s="23"/>
      <c r="H159" s="23">
        <v>899.45893757085014</v>
      </c>
    </row>
    <row r="160" spans="1:8" ht="33.75" customHeight="1" x14ac:dyDescent="0.25">
      <c r="A160" s="10">
        <v>98</v>
      </c>
      <c r="B160" s="40" t="s">
        <v>216</v>
      </c>
      <c r="C160" s="41"/>
      <c r="D160" s="42"/>
      <c r="E160" s="20" t="s">
        <v>217</v>
      </c>
      <c r="F160" s="23"/>
      <c r="G160" s="23"/>
      <c r="H160" s="23">
        <f>4500.56218757085-2300-1000</f>
        <v>1200.5621875708503</v>
      </c>
    </row>
    <row r="161" spans="1:8" ht="38.25" customHeight="1" x14ac:dyDescent="0.25">
      <c r="A161" s="10">
        <v>99</v>
      </c>
      <c r="B161" s="40" t="s">
        <v>218</v>
      </c>
      <c r="C161" s="41"/>
      <c r="D161" s="42"/>
      <c r="E161" s="20" t="s">
        <v>219</v>
      </c>
      <c r="F161" s="23"/>
      <c r="G161" s="23"/>
      <c r="H161" s="23">
        <f>3370.83315757085-1500</f>
        <v>1870.8331575708498</v>
      </c>
    </row>
    <row r="162" spans="1:8" ht="18" customHeight="1" x14ac:dyDescent="0.25">
      <c r="A162" s="36" t="s">
        <v>31</v>
      </c>
      <c r="B162" s="37"/>
      <c r="C162" s="37"/>
      <c r="D162" s="37"/>
      <c r="E162" s="38"/>
      <c r="F162" s="22"/>
      <c r="G162" s="22"/>
      <c r="H162" s="22">
        <v>13832.321928137651</v>
      </c>
    </row>
    <row r="163" spans="1:8" ht="15.75" x14ac:dyDescent="0.25">
      <c r="A163" s="39" t="s">
        <v>220</v>
      </c>
      <c r="B163" s="39"/>
      <c r="C163" s="39"/>
      <c r="D163" s="39"/>
      <c r="E163" s="39"/>
      <c r="F163" s="22"/>
      <c r="G163" s="22"/>
      <c r="H163" s="22">
        <v>13832.321928137651</v>
      </c>
    </row>
    <row r="164" spans="1:8" s="14" customFormat="1" ht="21" customHeight="1" x14ac:dyDescent="0.25">
      <c r="A164" s="34" t="s">
        <v>221</v>
      </c>
      <c r="B164" s="35"/>
      <c r="C164" s="35"/>
      <c r="D164" s="35"/>
      <c r="E164" s="35"/>
      <c r="F164" s="35"/>
      <c r="G164" s="35"/>
      <c r="H164" s="35"/>
    </row>
    <row r="165" spans="1:8" ht="20.25" customHeight="1" x14ac:dyDescent="0.25">
      <c r="A165" s="34" t="s">
        <v>29</v>
      </c>
      <c r="B165" s="35"/>
      <c r="C165" s="35"/>
      <c r="D165" s="35"/>
      <c r="E165" s="35"/>
      <c r="F165" s="35"/>
      <c r="G165" s="35"/>
      <c r="H165" s="35"/>
    </row>
    <row r="166" spans="1:8" ht="40.5" customHeight="1" x14ac:dyDescent="0.25">
      <c r="A166" s="10">
        <v>100</v>
      </c>
      <c r="B166" s="40" t="s">
        <v>222</v>
      </c>
      <c r="C166" s="41"/>
      <c r="D166" s="42"/>
      <c r="E166" s="20" t="s">
        <v>223</v>
      </c>
      <c r="F166" s="23"/>
      <c r="G166" s="23"/>
      <c r="H166" s="23">
        <v>918.13141757085009</v>
      </c>
    </row>
    <row r="167" spans="1:8" ht="52.5" customHeight="1" x14ac:dyDescent="0.25">
      <c r="A167" s="10">
        <v>101</v>
      </c>
      <c r="B167" s="40" t="s">
        <v>224</v>
      </c>
      <c r="C167" s="41"/>
      <c r="D167" s="42"/>
      <c r="E167" s="20" t="s">
        <v>225</v>
      </c>
      <c r="F167" s="23"/>
      <c r="G167" s="23"/>
      <c r="H167" s="23">
        <f>8795.55941757085-5500-2000</f>
        <v>1295.5594175708502</v>
      </c>
    </row>
    <row r="168" spans="1:8" ht="18" customHeight="1" x14ac:dyDescent="0.25">
      <c r="A168" s="36" t="s">
        <v>31</v>
      </c>
      <c r="B168" s="37"/>
      <c r="C168" s="37"/>
      <c r="D168" s="37"/>
      <c r="E168" s="38"/>
      <c r="F168" s="22"/>
      <c r="G168" s="22"/>
      <c r="H168" s="22">
        <v>2213.6908351417005</v>
      </c>
    </row>
    <row r="169" spans="1:8" ht="15.75" x14ac:dyDescent="0.25">
      <c r="A169" s="39" t="s">
        <v>226</v>
      </c>
      <c r="B169" s="39"/>
      <c r="C169" s="39"/>
      <c r="D169" s="39"/>
      <c r="E169" s="39"/>
      <c r="F169" s="22"/>
      <c r="G169" s="22"/>
      <c r="H169" s="22">
        <v>2213.6908351417005</v>
      </c>
    </row>
    <row r="170" spans="1:8" s="14" customFormat="1" ht="21" customHeight="1" x14ac:dyDescent="0.25">
      <c r="A170" s="34" t="s">
        <v>227</v>
      </c>
      <c r="B170" s="35"/>
      <c r="C170" s="35"/>
      <c r="D170" s="35"/>
      <c r="E170" s="35"/>
      <c r="F170" s="35"/>
      <c r="G170" s="35"/>
      <c r="H170" s="35"/>
    </row>
    <row r="171" spans="1:8" ht="20.25" customHeight="1" x14ac:dyDescent="0.25">
      <c r="A171" s="34" t="s">
        <v>7</v>
      </c>
      <c r="B171" s="35"/>
      <c r="C171" s="35"/>
      <c r="D171" s="35"/>
      <c r="E171" s="35"/>
      <c r="F171" s="35"/>
      <c r="G171" s="35"/>
      <c r="H171" s="35"/>
    </row>
    <row r="172" spans="1:8" ht="39.75" customHeight="1" x14ac:dyDescent="0.25">
      <c r="A172" s="10">
        <v>102</v>
      </c>
      <c r="B172" s="40" t="s">
        <v>228</v>
      </c>
      <c r="C172" s="41"/>
      <c r="D172" s="42"/>
      <c r="E172" s="20" t="s">
        <v>229</v>
      </c>
      <c r="F172" s="13"/>
      <c r="G172" s="13"/>
      <c r="H172" s="23">
        <f>20290.8475-9000-4000-1000-2000-1000-2000</f>
        <v>1290.8474999999999</v>
      </c>
    </row>
    <row r="173" spans="1:8" ht="18" customHeight="1" x14ac:dyDescent="0.25">
      <c r="A173" s="36" t="s">
        <v>30</v>
      </c>
      <c r="B173" s="37"/>
      <c r="C173" s="37"/>
      <c r="D173" s="37"/>
      <c r="E173" s="38"/>
      <c r="F173" s="7"/>
      <c r="G173" s="7"/>
      <c r="H173" s="22">
        <v>1290.8474999999999</v>
      </c>
    </row>
    <row r="174" spans="1:8" ht="20.25" customHeight="1" x14ac:dyDescent="0.25">
      <c r="A174" s="34" t="s">
        <v>29</v>
      </c>
      <c r="B174" s="35"/>
      <c r="C174" s="35"/>
      <c r="D174" s="35"/>
      <c r="E174" s="35"/>
      <c r="F174" s="35"/>
      <c r="G174" s="35"/>
      <c r="H174" s="35"/>
    </row>
    <row r="175" spans="1:8" ht="39.75" customHeight="1" x14ac:dyDescent="0.25">
      <c r="A175" s="10">
        <v>103</v>
      </c>
      <c r="B175" s="40" t="s">
        <v>230</v>
      </c>
      <c r="C175" s="41"/>
      <c r="D175" s="42"/>
      <c r="E175" s="20" t="s">
        <v>231</v>
      </c>
      <c r="F175" s="23"/>
      <c r="G175" s="23"/>
      <c r="H175" s="23">
        <f>8361.92389757085-5500-1000</f>
        <v>1861.9238975708504</v>
      </c>
    </row>
    <row r="176" spans="1:8" ht="41.25" customHeight="1" x14ac:dyDescent="0.25">
      <c r="A176" s="10">
        <v>104</v>
      </c>
      <c r="B176" s="40" t="s">
        <v>232</v>
      </c>
      <c r="C176" s="41"/>
      <c r="D176" s="42"/>
      <c r="E176" s="20" t="s">
        <v>233</v>
      </c>
      <c r="F176" s="23"/>
      <c r="G176" s="23"/>
      <c r="H176" s="23">
        <f>4500.36617-2300-1000</f>
        <v>1200.3661700000002</v>
      </c>
    </row>
    <row r="177" spans="1:8" ht="41.25" customHeight="1" x14ac:dyDescent="0.25">
      <c r="A177" s="10">
        <v>105</v>
      </c>
      <c r="B177" s="40" t="s">
        <v>234</v>
      </c>
      <c r="C177" s="41"/>
      <c r="D177" s="42"/>
      <c r="E177" s="20" t="s">
        <v>235</v>
      </c>
      <c r="F177" s="23"/>
      <c r="G177" s="23"/>
      <c r="H177" s="23">
        <f>7954.94641757085-4500-1000-1000</f>
        <v>1454.9464175708499</v>
      </c>
    </row>
    <row r="178" spans="1:8" ht="35.25" customHeight="1" x14ac:dyDescent="0.25">
      <c r="A178" s="10">
        <v>106</v>
      </c>
      <c r="B178" s="40" t="s">
        <v>236</v>
      </c>
      <c r="C178" s="41"/>
      <c r="D178" s="42"/>
      <c r="E178" s="20" t="s">
        <v>237</v>
      </c>
      <c r="F178" s="23"/>
      <c r="G178" s="23"/>
      <c r="H178" s="23">
        <f>8795.55941757085-5500-1000-1000</f>
        <v>1295.5594175708502</v>
      </c>
    </row>
    <row r="179" spans="1:8" ht="36.75" customHeight="1" x14ac:dyDescent="0.25">
      <c r="A179" s="10">
        <v>107</v>
      </c>
      <c r="B179" s="40" t="s">
        <v>238</v>
      </c>
      <c r="C179" s="41"/>
      <c r="D179" s="42"/>
      <c r="E179" s="20" t="s">
        <v>239</v>
      </c>
      <c r="F179" s="23"/>
      <c r="G179" s="23"/>
      <c r="H179" s="23">
        <f>3140.1-2000</f>
        <v>1140.0999999999999</v>
      </c>
    </row>
    <row r="180" spans="1:8" ht="52.5" customHeight="1" x14ac:dyDescent="0.25">
      <c r="A180" s="10">
        <v>108</v>
      </c>
      <c r="B180" s="40" t="s">
        <v>240</v>
      </c>
      <c r="C180" s="41"/>
      <c r="D180" s="42"/>
      <c r="E180" s="20" t="s">
        <v>241</v>
      </c>
      <c r="F180" s="23"/>
      <c r="G180" s="23"/>
      <c r="H180" s="23">
        <v>1448.80641757085</v>
      </c>
    </row>
    <row r="181" spans="1:8" ht="36" customHeight="1" x14ac:dyDescent="0.25">
      <c r="A181" s="10">
        <v>109</v>
      </c>
      <c r="B181" s="40" t="s">
        <v>242</v>
      </c>
      <c r="C181" s="41"/>
      <c r="D181" s="42"/>
      <c r="E181" s="20" t="s">
        <v>229</v>
      </c>
      <c r="F181" s="23"/>
      <c r="G181" s="23"/>
      <c r="H181" s="23">
        <f>3766.44341757085-1000-1000</f>
        <v>1766.4434175708502</v>
      </c>
    </row>
    <row r="182" spans="1:8" ht="18" customHeight="1" x14ac:dyDescent="0.25">
      <c r="A182" s="36" t="s">
        <v>31</v>
      </c>
      <c r="B182" s="37"/>
      <c r="C182" s="37"/>
      <c r="D182" s="37"/>
      <c r="E182" s="38"/>
      <c r="F182" s="22"/>
      <c r="G182" s="22"/>
      <c r="H182" s="22">
        <v>10168.145737854251</v>
      </c>
    </row>
    <row r="183" spans="1:8" ht="15.75" x14ac:dyDescent="0.25">
      <c r="A183" s="39" t="s">
        <v>243</v>
      </c>
      <c r="B183" s="39"/>
      <c r="C183" s="39"/>
      <c r="D183" s="39"/>
      <c r="E183" s="39"/>
      <c r="F183" s="22"/>
      <c r="G183" s="22"/>
      <c r="H183" s="22">
        <v>11458.993237854251</v>
      </c>
    </row>
    <row r="184" spans="1:8" s="14" customFormat="1" ht="21" customHeight="1" x14ac:dyDescent="0.25">
      <c r="A184" s="34" t="s">
        <v>244</v>
      </c>
      <c r="B184" s="35"/>
      <c r="C184" s="35"/>
      <c r="D184" s="35"/>
      <c r="E184" s="35"/>
      <c r="F184" s="35"/>
      <c r="G184" s="35"/>
      <c r="H184" s="35"/>
    </row>
    <row r="185" spans="1:8" ht="20.25" customHeight="1" x14ac:dyDescent="0.25">
      <c r="A185" s="34" t="s">
        <v>29</v>
      </c>
      <c r="B185" s="35"/>
      <c r="C185" s="35"/>
      <c r="D185" s="35"/>
      <c r="E185" s="35"/>
      <c r="F185" s="35"/>
      <c r="G185" s="35"/>
      <c r="H185" s="35"/>
    </row>
    <row r="186" spans="1:8" ht="33.75" customHeight="1" x14ac:dyDescent="0.25">
      <c r="A186" s="10">
        <v>110</v>
      </c>
      <c r="B186" s="40" t="s">
        <v>245</v>
      </c>
      <c r="C186" s="41"/>
      <c r="D186" s="42"/>
      <c r="E186" s="20" t="s">
        <v>246</v>
      </c>
      <c r="F186" s="23"/>
      <c r="G186" s="23"/>
      <c r="H186" s="23">
        <f>7500-3400-1000-1000-500</f>
        <v>1600</v>
      </c>
    </row>
    <row r="187" spans="1:8" ht="39" customHeight="1" x14ac:dyDescent="0.25">
      <c r="A187" s="10">
        <v>111</v>
      </c>
      <c r="B187" s="40" t="s">
        <v>247</v>
      </c>
      <c r="C187" s="41"/>
      <c r="D187" s="42"/>
      <c r="E187" s="20" t="s">
        <v>248</v>
      </c>
      <c r="F187" s="23"/>
      <c r="G187" s="23"/>
      <c r="H187" s="23">
        <f>8795.55941757085-5500-1000-500</f>
        <v>1795.5594175708502</v>
      </c>
    </row>
    <row r="188" spans="1:8" ht="32.25" customHeight="1" x14ac:dyDescent="0.25">
      <c r="A188" s="10">
        <v>112</v>
      </c>
      <c r="B188" s="40" t="s">
        <v>249</v>
      </c>
      <c r="C188" s="41"/>
      <c r="D188" s="42"/>
      <c r="E188" s="20" t="s">
        <v>250</v>
      </c>
      <c r="F188" s="23"/>
      <c r="G188" s="23"/>
      <c r="H188" s="23">
        <f>8451.14341757085-5400-1000-500</f>
        <v>1551.1434175708491</v>
      </c>
    </row>
    <row r="189" spans="1:8" ht="39.75" customHeight="1" x14ac:dyDescent="0.25">
      <c r="A189" s="10">
        <v>113</v>
      </c>
      <c r="B189" s="40" t="s">
        <v>251</v>
      </c>
      <c r="C189" s="41"/>
      <c r="D189" s="42"/>
      <c r="E189" s="20" t="s">
        <v>252</v>
      </c>
      <c r="F189" s="23"/>
      <c r="G189" s="23"/>
      <c r="H189" s="23">
        <f>5642.80941757085-2800-500-500</f>
        <v>1842.8094175708502</v>
      </c>
    </row>
    <row r="190" spans="1:8" ht="36.75" customHeight="1" x14ac:dyDescent="0.25">
      <c r="A190" s="10">
        <v>114</v>
      </c>
      <c r="B190" s="40" t="s">
        <v>253</v>
      </c>
      <c r="C190" s="41"/>
      <c r="D190" s="42"/>
      <c r="E190" s="20" t="s">
        <v>254</v>
      </c>
      <c r="F190" s="23"/>
      <c r="G190" s="23"/>
      <c r="H190" s="23">
        <f>8795.55941757085-6000-1000</f>
        <v>1795.5594175708502</v>
      </c>
    </row>
    <row r="191" spans="1:8" ht="41.25" customHeight="1" x14ac:dyDescent="0.25">
      <c r="A191" s="10">
        <v>115</v>
      </c>
      <c r="B191" s="40" t="s">
        <v>255</v>
      </c>
      <c r="C191" s="41"/>
      <c r="D191" s="42"/>
      <c r="E191" s="20" t="s">
        <v>256</v>
      </c>
      <c r="F191" s="23"/>
      <c r="G191" s="23"/>
      <c r="H191" s="23">
        <f>2001.9-1000</f>
        <v>1001.9000000000001</v>
      </c>
    </row>
    <row r="192" spans="1:8" ht="18" customHeight="1" x14ac:dyDescent="0.25">
      <c r="A192" s="36" t="s">
        <v>31</v>
      </c>
      <c r="B192" s="37"/>
      <c r="C192" s="37"/>
      <c r="D192" s="37"/>
      <c r="E192" s="38"/>
      <c r="F192" s="22"/>
      <c r="G192" s="22"/>
      <c r="H192" s="22">
        <v>9586.9716702833994</v>
      </c>
    </row>
    <row r="193" spans="1:8" ht="15.75" x14ac:dyDescent="0.25">
      <c r="A193" s="39" t="s">
        <v>257</v>
      </c>
      <c r="B193" s="39"/>
      <c r="C193" s="39"/>
      <c r="D193" s="39"/>
      <c r="E193" s="39"/>
      <c r="F193" s="22"/>
      <c r="G193" s="22"/>
      <c r="H193" s="22">
        <v>9586.9716702833994</v>
      </c>
    </row>
    <row r="194" spans="1:8" s="14" customFormat="1" ht="21" customHeight="1" x14ac:dyDescent="0.25">
      <c r="A194" s="34" t="s">
        <v>258</v>
      </c>
      <c r="B194" s="35"/>
      <c r="C194" s="35"/>
      <c r="D194" s="35"/>
      <c r="E194" s="35"/>
      <c r="F194" s="35"/>
      <c r="G194" s="35"/>
      <c r="H194" s="35"/>
    </row>
    <row r="195" spans="1:8" ht="20.25" customHeight="1" x14ac:dyDescent="0.25">
      <c r="A195" s="34" t="s">
        <v>7</v>
      </c>
      <c r="B195" s="35"/>
      <c r="C195" s="35"/>
      <c r="D195" s="35"/>
      <c r="E195" s="35"/>
      <c r="F195" s="35"/>
      <c r="G195" s="35"/>
      <c r="H195" s="35"/>
    </row>
    <row r="196" spans="1:8" ht="34.5" customHeight="1" x14ac:dyDescent="0.25">
      <c r="A196" s="10">
        <v>116</v>
      </c>
      <c r="B196" s="40" t="s">
        <v>259</v>
      </c>
      <c r="C196" s="41"/>
      <c r="D196" s="42"/>
      <c r="E196" s="20" t="s">
        <v>260</v>
      </c>
      <c r="F196" s="23"/>
      <c r="G196" s="23">
        <v>8636.8444299999992</v>
      </c>
      <c r="H196" s="23">
        <f>5336.9793-2500-1000</f>
        <v>1836.9793</v>
      </c>
    </row>
    <row r="197" spans="1:8" ht="38.25" customHeight="1" x14ac:dyDescent="0.25">
      <c r="A197" s="10">
        <v>117</v>
      </c>
      <c r="B197" s="40" t="s">
        <v>261</v>
      </c>
      <c r="C197" s="41"/>
      <c r="D197" s="42"/>
      <c r="E197" s="20" t="s">
        <v>262</v>
      </c>
      <c r="F197" s="23"/>
      <c r="G197" s="23"/>
      <c r="H197" s="23">
        <f>14289.0075-10000-2000-1000</f>
        <v>1289.0074999999997</v>
      </c>
    </row>
    <row r="198" spans="1:8" ht="18" customHeight="1" x14ac:dyDescent="0.25">
      <c r="A198" s="36" t="s">
        <v>30</v>
      </c>
      <c r="B198" s="37"/>
      <c r="C198" s="37"/>
      <c r="D198" s="37"/>
      <c r="E198" s="38"/>
      <c r="F198" s="22"/>
      <c r="G198" s="22">
        <v>8636.8444299999992</v>
      </c>
      <c r="H198" s="22">
        <v>3125.9867999999997</v>
      </c>
    </row>
    <row r="199" spans="1:8" ht="20.25" customHeight="1" x14ac:dyDescent="0.25">
      <c r="A199" s="34" t="s">
        <v>29</v>
      </c>
      <c r="B199" s="35"/>
      <c r="C199" s="35"/>
      <c r="D199" s="35"/>
      <c r="E199" s="35"/>
      <c r="F199" s="35"/>
      <c r="G199" s="35"/>
      <c r="H199" s="35"/>
    </row>
    <row r="200" spans="1:8" ht="83.25" customHeight="1" x14ac:dyDescent="0.25">
      <c r="A200" s="10">
        <v>118</v>
      </c>
      <c r="B200" s="40" t="s">
        <v>263</v>
      </c>
      <c r="C200" s="41"/>
      <c r="D200" s="42"/>
      <c r="E200" s="20" t="s">
        <v>263</v>
      </c>
      <c r="F200" s="23"/>
      <c r="G200" s="23"/>
      <c r="H200" s="23">
        <f>7379.17341757085-4300-1000-1000</f>
        <v>1079.1734175708498</v>
      </c>
    </row>
    <row r="201" spans="1:8" ht="52.5" customHeight="1" x14ac:dyDescent="0.25">
      <c r="A201" s="10">
        <v>119</v>
      </c>
      <c r="B201" s="40" t="s">
        <v>264</v>
      </c>
      <c r="C201" s="41"/>
      <c r="D201" s="42"/>
      <c r="E201" s="20" t="s">
        <v>265</v>
      </c>
      <c r="F201" s="23"/>
      <c r="G201" s="23"/>
      <c r="H201" s="23">
        <f>7383.42741757085-5000-1000</f>
        <v>1383.4274175708497</v>
      </c>
    </row>
    <row r="202" spans="1:8" ht="52.5" customHeight="1" x14ac:dyDescent="0.25">
      <c r="A202" s="10">
        <v>120</v>
      </c>
      <c r="B202" s="40" t="s">
        <v>266</v>
      </c>
      <c r="C202" s="41"/>
      <c r="D202" s="42"/>
      <c r="E202" s="20" t="s">
        <v>267</v>
      </c>
      <c r="F202" s="23"/>
      <c r="G202" s="23"/>
      <c r="H202" s="23">
        <f>6732.71641757085-3000-1000-1000</f>
        <v>1732.7164175708504</v>
      </c>
    </row>
    <row r="203" spans="1:8" ht="52.5" customHeight="1" x14ac:dyDescent="0.25">
      <c r="A203" s="10">
        <v>121</v>
      </c>
      <c r="B203" s="40" t="s">
        <v>268</v>
      </c>
      <c r="C203" s="41"/>
      <c r="D203" s="42"/>
      <c r="E203" s="20" t="s">
        <v>159</v>
      </c>
      <c r="F203" s="23"/>
      <c r="G203" s="23"/>
      <c r="H203" s="23">
        <f>8067.72241757085-5000-2000</f>
        <v>1067.7224175708498</v>
      </c>
    </row>
    <row r="204" spans="1:8" ht="69" customHeight="1" x14ac:dyDescent="0.25">
      <c r="A204" s="10">
        <v>122</v>
      </c>
      <c r="B204" s="40" t="s">
        <v>269</v>
      </c>
      <c r="C204" s="41"/>
      <c r="D204" s="42"/>
      <c r="E204" s="20" t="s">
        <v>270</v>
      </c>
      <c r="F204" s="23"/>
      <c r="G204" s="23"/>
      <c r="H204" s="23">
        <f>4561.68473-1800-1000</f>
        <v>1761.6847299999999</v>
      </c>
    </row>
    <row r="205" spans="1:8" ht="38.25" customHeight="1" x14ac:dyDescent="0.25">
      <c r="A205" s="10">
        <v>123</v>
      </c>
      <c r="B205" s="40" t="s">
        <v>271</v>
      </c>
      <c r="C205" s="41"/>
      <c r="D205" s="42"/>
      <c r="E205" s="20" t="s">
        <v>272</v>
      </c>
      <c r="F205" s="23"/>
      <c r="G205" s="23"/>
      <c r="H205" s="23">
        <v>1112.5159900000003</v>
      </c>
    </row>
    <row r="206" spans="1:8" ht="37.5" customHeight="1" x14ac:dyDescent="0.25">
      <c r="A206" s="10">
        <v>124</v>
      </c>
      <c r="B206" s="40" t="s">
        <v>273</v>
      </c>
      <c r="C206" s="41"/>
      <c r="D206" s="42"/>
      <c r="E206" s="20" t="s">
        <v>274</v>
      </c>
      <c r="F206" s="23"/>
      <c r="G206" s="23"/>
      <c r="H206" s="23">
        <f>4939.11541757085-2000-1000</f>
        <v>1939.1154175708498</v>
      </c>
    </row>
    <row r="207" spans="1:8" ht="36" customHeight="1" x14ac:dyDescent="0.25">
      <c r="A207" s="10">
        <v>125</v>
      </c>
      <c r="B207" s="40" t="s">
        <v>275</v>
      </c>
      <c r="C207" s="41"/>
      <c r="D207" s="42"/>
      <c r="E207" s="20" t="s">
        <v>276</v>
      </c>
      <c r="F207" s="23"/>
      <c r="G207" s="23"/>
      <c r="H207" s="23">
        <v>1446.38441757085</v>
      </c>
    </row>
    <row r="208" spans="1:8" ht="35.25" customHeight="1" x14ac:dyDescent="0.25">
      <c r="A208" s="10">
        <v>126</v>
      </c>
      <c r="B208" s="40" t="s">
        <v>277</v>
      </c>
      <c r="C208" s="41"/>
      <c r="D208" s="42"/>
      <c r="E208" s="20" t="s">
        <v>278</v>
      </c>
      <c r="F208" s="23"/>
      <c r="G208" s="23"/>
      <c r="H208" s="23">
        <f>1880.95141757085-800</f>
        <v>1080.95141757085</v>
      </c>
    </row>
    <row r="209" spans="1:8" ht="52.5" customHeight="1" x14ac:dyDescent="0.25">
      <c r="A209" s="10">
        <v>127</v>
      </c>
      <c r="B209" s="40" t="s">
        <v>279</v>
      </c>
      <c r="C209" s="41"/>
      <c r="D209" s="42"/>
      <c r="E209" s="20" t="s">
        <v>280</v>
      </c>
      <c r="F209" s="23"/>
      <c r="G209" s="23"/>
      <c r="H209" s="23">
        <f>5339.23641757084-3000-1000</f>
        <v>1339.2364175708399</v>
      </c>
    </row>
    <row r="210" spans="1:8" ht="52.5" customHeight="1" x14ac:dyDescent="0.25">
      <c r="A210" s="10">
        <v>128</v>
      </c>
      <c r="B210" s="40" t="s">
        <v>281</v>
      </c>
      <c r="C210" s="41"/>
      <c r="D210" s="42"/>
      <c r="E210" s="20" t="s">
        <v>282</v>
      </c>
      <c r="F210" s="23"/>
      <c r="G210" s="23"/>
      <c r="H210" s="23">
        <f>3388.70341757085-2000</f>
        <v>1388.70341757085</v>
      </c>
    </row>
    <row r="211" spans="1:8" ht="39.75" customHeight="1" x14ac:dyDescent="0.25">
      <c r="A211" s="10">
        <v>129</v>
      </c>
      <c r="B211" s="40" t="s">
        <v>283</v>
      </c>
      <c r="C211" s="41"/>
      <c r="D211" s="42"/>
      <c r="E211" s="20" t="s">
        <v>284</v>
      </c>
      <c r="F211" s="23"/>
      <c r="G211" s="23"/>
      <c r="H211" s="23">
        <f>5025.97841757085-3000-1000</f>
        <v>1025.9784175708501</v>
      </c>
    </row>
    <row r="212" spans="1:8" ht="39.75" customHeight="1" x14ac:dyDescent="0.25">
      <c r="A212" s="10">
        <v>130</v>
      </c>
      <c r="B212" s="40" t="s">
        <v>285</v>
      </c>
      <c r="C212" s="41"/>
      <c r="D212" s="42"/>
      <c r="E212" s="20" t="s">
        <v>286</v>
      </c>
      <c r="F212" s="23"/>
      <c r="G212" s="23"/>
      <c r="H212" s="23">
        <f>4460.58841757085-2400-1000</f>
        <v>1060.5884175708497</v>
      </c>
    </row>
    <row r="213" spans="1:8" ht="35.25" customHeight="1" x14ac:dyDescent="0.25">
      <c r="A213" s="10">
        <v>131</v>
      </c>
      <c r="B213" s="40" t="s">
        <v>287</v>
      </c>
      <c r="C213" s="41"/>
      <c r="D213" s="42"/>
      <c r="E213" s="20" t="s">
        <v>288</v>
      </c>
      <c r="F213" s="23"/>
      <c r="G213" s="23"/>
      <c r="H213" s="23">
        <f>3237-1000-1000</f>
        <v>1237</v>
      </c>
    </row>
    <row r="214" spans="1:8" ht="38.25" customHeight="1" x14ac:dyDescent="0.25">
      <c r="A214" s="10">
        <v>132</v>
      </c>
      <c r="B214" s="40" t="s">
        <v>289</v>
      </c>
      <c r="C214" s="41"/>
      <c r="D214" s="42"/>
      <c r="E214" s="20" t="s">
        <v>262</v>
      </c>
      <c r="F214" s="23"/>
      <c r="G214" s="23"/>
      <c r="H214" s="23">
        <f>4603.60841757085-2500-1000</f>
        <v>1103.6084175708502</v>
      </c>
    </row>
    <row r="215" spans="1:8" ht="18" customHeight="1" x14ac:dyDescent="0.25">
      <c r="A215" s="36" t="s">
        <v>31</v>
      </c>
      <c r="B215" s="37"/>
      <c r="C215" s="37"/>
      <c r="D215" s="37"/>
      <c r="E215" s="38"/>
      <c r="F215" s="22"/>
      <c r="G215" s="22"/>
      <c r="H215" s="22">
        <v>19758.806730850189</v>
      </c>
    </row>
    <row r="216" spans="1:8" ht="15.75" x14ac:dyDescent="0.25">
      <c r="A216" s="39" t="s">
        <v>290</v>
      </c>
      <c r="B216" s="39"/>
      <c r="C216" s="39"/>
      <c r="D216" s="39"/>
      <c r="E216" s="39"/>
      <c r="F216" s="22"/>
      <c r="G216" s="22">
        <v>8636.8444299999992</v>
      </c>
      <c r="H216" s="22">
        <v>22884.793530850187</v>
      </c>
    </row>
    <row r="217" spans="1:8" s="14" customFormat="1" ht="21" customHeight="1" x14ac:dyDescent="0.25">
      <c r="A217" s="34" t="s">
        <v>291</v>
      </c>
      <c r="B217" s="35"/>
      <c r="C217" s="35"/>
      <c r="D217" s="35"/>
      <c r="E217" s="35"/>
      <c r="F217" s="35"/>
      <c r="G217" s="35"/>
      <c r="H217" s="35"/>
    </row>
    <row r="218" spans="1:8" ht="20.25" customHeight="1" x14ac:dyDescent="0.25">
      <c r="A218" s="34" t="s">
        <v>7</v>
      </c>
      <c r="B218" s="35"/>
      <c r="C218" s="35"/>
      <c r="D218" s="35"/>
      <c r="E218" s="35"/>
      <c r="F218" s="35"/>
      <c r="G218" s="35"/>
      <c r="H218" s="35"/>
    </row>
    <row r="219" spans="1:8" ht="34.5" customHeight="1" x14ac:dyDescent="0.25">
      <c r="A219" s="10">
        <v>133</v>
      </c>
      <c r="B219" s="40" t="s">
        <v>292</v>
      </c>
      <c r="C219" s="41"/>
      <c r="D219" s="42"/>
      <c r="E219" s="58" t="s">
        <v>293</v>
      </c>
      <c r="F219" s="23"/>
      <c r="G219" s="23"/>
      <c r="H219" s="23">
        <f>8083.395-6000-1000</f>
        <v>1083.3950000000004</v>
      </c>
    </row>
    <row r="220" spans="1:8" ht="49.5" customHeight="1" x14ac:dyDescent="0.25">
      <c r="A220" s="10">
        <v>134</v>
      </c>
      <c r="B220" s="40" t="s">
        <v>723</v>
      </c>
      <c r="C220" s="41"/>
      <c r="D220" s="42"/>
      <c r="E220" s="59"/>
      <c r="F220" s="23">
        <v>18333.900000000001</v>
      </c>
      <c r="G220" s="23"/>
      <c r="H220" s="23"/>
    </row>
    <row r="221" spans="1:8" ht="18" customHeight="1" x14ac:dyDescent="0.25">
      <c r="A221" s="36" t="s">
        <v>30</v>
      </c>
      <c r="B221" s="37"/>
      <c r="C221" s="37"/>
      <c r="D221" s="37"/>
      <c r="E221" s="38"/>
      <c r="F221" s="22">
        <v>18333.900000000001</v>
      </c>
      <c r="G221" s="22"/>
      <c r="H221" s="22">
        <v>1083.3950000000004</v>
      </c>
    </row>
    <row r="222" spans="1:8" ht="20.25" customHeight="1" x14ac:dyDescent="0.25">
      <c r="A222" s="34" t="s">
        <v>29</v>
      </c>
      <c r="B222" s="35"/>
      <c r="C222" s="35"/>
      <c r="D222" s="35"/>
      <c r="E222" s="35"/>
      <c r="F222" s="35"/>
      <c r="G222" s="35"/>
      <c r="H222" s="35"/>
    </row>
    <row r="223" spans="1:8" ht="40.5" customHeight="1" x14ac:dyDescent="0.25">
      <c r="A223" s="10">
        <v>135</v>
      </c>
      <c r="B223" s="40" t="s">
        <v>294</v>
      </c>
      <c r="C223" s="41"/>
      <c r="D223" s="42"/>
      <c r="E223" s="20" t="s">
        <v>297</v>
      </c>
      <c r="F223" s="23"/>
      <c r="G223" s="23"/>
      <c r="H223" s="23">
        <v>699.29543999999999</v>
      </c>
    </row>
    <row r="224" spans="1:8" ht="46.5" customHeight="1" x14ac:dyDescent="0.25">
      <c r="A224" s="10">
        <v>136</v>
      </c>
      <c r="B224" s="40" t="s">
        <v>295</v>
      </c>
      <c r="C224" s="41"/>
      <c r="D224" s="42"/>
      <c r="E224" s="20" t="s">
        <v>296</v>
      </c>
      <c r="F224" s="23"/>
      <c r="G224" s="23"/>
      <c r="H224" s="23">
        <f>3509.32121-1800</f>
        <v>1709.3212100000001</v>
      </c>
    </row>
    <row r="225" spans="1:8" ht="34.5" customHeight="1" x14ac:dyDescent="0.25">
      <c r="A225" s="10">
        <v>137</v>
      </c>
      <c r="B225" s="40" t="s">
        <v>298</v>
      </c>
      <c r="C225" s="41"/>
      <c r="D225" s="42"/>
      <c r="E225" s="20" t="s">
        <v>299</v>
      </c>
      <c r="F225" s="23"/>
      <c r="G225" s="23"/>
      <c r="H225" s="23">
        <f>8674.59841757085-5000-1000</f>
        <v>2674.5984175708509</v>
      </c>
    </row>
    <row r="226" spans="1:8" ht="40.5" customHeight="1" x14ac:dyDescent="0.25">
      <c r="A226" s="10">
        <v>138</v>
      </c>
      <c r="B226" s="40" t="s">
        <v>300</v>
      </c>
      <c r="C226" s="41"/>
      <c r="D226" s="42"/>
      <c r="E226" s="20" t="s">
        <v>301</v>
      </c>
      <c r="F226" s="23"/>
      <c r="G226" s="23"/>
      <c r="H226" s="23">
        <f>7008.25615757085-5000</f>
        <v>2008.2561575708496</v>
      </c>
    </row>
    <row r="227" spans="1:8" ht="40.5" customHeight="1" x14ac:dyDescent="0.25">
      <c r="A227" s="10">
        <v>139</v>
      </c>
      <c r="B227" s="40" t="s">
        <v>302</v>
      </c>
      <c r="C227" s="41"/>
      <c r="D227" s="42"/>
      <c r="E227" s="20" t="s">
        <v>303</v>
      </c>
      <c r="F227" s="23"/>
      <c r="G227" s="23"/>
      <c r="H227" s="23">
        <v>923.54341757085012</v>
      </c>
    </row>
    <row r="228" spans="1:8" ht="39.75" customHeight="1" x14ac:dyDescent="0.25">
      <c r="A228" s="10">
        <v>140</v>
      </c>
      <c r="B228" s="40" t="s">
        <v>304</v>
      </c>
      <c r="C228" s="41"/>
      <c r="D228" s="42"/>
      <c r="E228" s="20" t="s">
        <v>305</v>
      </c>
      <c r="F228" s="23"/>
      <c r="G228" s="23"/>
      <c r="H228" s="23">
        <f>2527.01641757085-1000</f>
        <v>1527.0164175708501</v>
      </c>
    </row>
    <row r="229" spans="1:8" ht="39" customHeight="1" x14ac:dyDescent="0.25">
      <c r="A229" s="10">
        <v>141</v>
      </c>
      <c r="B229" s="40" t="s">
        <v>306</v>
      </c>
      <c r="C229" s="41"/>
      <c r="D229" s="42"/>
      <c r="E229" s="20" t="s">
        <v>307</v>
      </c>
      <c r="F229" s="23"/>
      <c r="G229" s="23"/>
      <c r="H229" s="23">
        <f>2046.61141757085-1000</f>
        <v>1046.6114175708501</v>
      </c>
    </row>
    <row r="230" spans="1:8" ht="28.5" customHeight="1" x14ac:dyDescent="0.25">
      <c r="A230" s="10">
        <v>142</v>
      </c>
      <c r="B230" s="40" t="s">
        <v>308</v>
      </c>
      <c r="C230" s="41"/>
      <c r="D230" s="42"/>
      <c r="E230" s="20" t="s">
        <v>309</v>
      </c>
      <c r="F230" s="23"/>
      <c r="G230" s="23"/>
      <c r="H230" s="23">
        <f>1825.19841757085-500</f>
        <v>1325.1984175708501</v>
      </c>
    </row>
    <row r="231" spans="1:8" ht="52.5" customHeight="1" x14ac:dyDescent="0.25">
      <c r="A231" s="10">
        <v>143</v>
      </c>
      <c r="B231" s="40" t="s">
        <v>310</v>
      </c>
      <c r="C231" s="41"/>
      <c r="D231" s="42"/>
      <c r="E231" s="20" t="s">
        <v>311</v>
      </c>
      <c r="F231" s="23"/>
      <c r="G231" s="23"/>
      <c r="H231" s="23">
        <v>973.92041757085008</v>
      </c>
    </row>
    <row r="232" spans="1:8" ht="52.5" customHeight="1" x14ac:dyDescent="0.25">
      <c r="A232" s="10">
        <v>144</v>
      </c>
      <c r="B232" s="40" t="s">
        <v>312</v>
      </c>
      <c r="C232" s="41"/>
      <c r="D232" s="42"/>
      <c r="E232" s="20" t="s">
        <v>313</v>
      </c>
      <c r="F232" s="23"/>
      <c r="G232" s="23"/>
      <c r="H232" s="23">
        <v>1594.6664175708502</v>
      </c>
    </row>
    <row r="233" spans="1:8" ht="42.75" customHeight="1" x14ac:dyDescent="0.25">
      <c r="A233" s="10">
        <v>145</v>
      </c>
      <c r="B233" s="40" t="s">
        <v>314</v>
      </c>
      <c r="C233" s="41"/>
      <c r="D233" s="42"/>
      <c r="E233" s="20" t="s">
        <v>315</v>
      </c>
      <c r="F233" s="23"/>
      <c r="G233" s="23"/>
      <c r="H233" s="23">
        <v>1032.0334175708501</v>
      </c>
    </row>
    <row r="234" spans="1:8" ht="52.5" customHeight="1" x14ac:dyDescent="0.25">
      <c r="A234" s="10">
        <v>146</v>
      </c>
      <c r="B234" s="40" t="s">
        <v>316</v>
      </c>
      <c r="C234" s="41"/>
      <c r="D234" s="42"/>
      <c r="E234" s="20" t="s">
        <v>317</v>
      </c>
      <c r="F234" s="23"/>
      <c r="G234" s="23"/>
      <c r="H234" s="23">
        <f>4461.45741757085-2000</f>
        <v>2461.4574175708503</v>
      </c>
    </row>
    <row r="235" spans="1:8" ht="39.75" customHeight="1" x14ac:dyDescent="0.25">
      <c r="A235" s="10">
        <v>147</v>
      </c>
      <c r="B235" s="40" t="s">
        <v>318</v>
      </c>
      <c r="C235" s="41"/>
      <c r="D235" s="42"/>
      <c r="E235" s="20" t="s">
        <v>319</v>
      </c>
      <c r="F235" s="23"/>
      <c r="G235" s="23"/>
      <c r="H235" s="23">
        <v>446.0036675708501</v>
      </c>
    </row>
    <row r="236" spans="1:8" ht="18" customHeight="1" x14ac:dyDescent="0.25">
      <c r="A236" s="36" t="s">
        <v>31</v>
      </c>
      <c r="B236" s="37"/>
      <c r="C236" s="37"/>
      <c r="D236" s="37"/>
      <c r="E236" s="38"/>
      <c r="F236" s="22"/>
      <c r="G236" s="22"/>
      <c r="H236" s="22">
        <v>18421.922233279351</v>
      </c>
    </row>
    <row r="237" spans="1:8" ht="15.75" x14ac:dyDescent="0.25">
      <c r="A237" s="39" t="s">
        <v>320</v>
      </c>
      <c r="B237" s="39"/>
      <c r="C237" s="39"/>
      <c r="D237" s="39"/>
      <c r="E237" s="39"/>
      <c r="F237" s="22">
        <v>18333.900000000001</v>
      </c>
      <c r="G237" s="22"/>
      <c r="H237" s="22">
        <v>19505.317233279351</v>
      </c>
    </row>
    <row r="238" spans="1:8" s="14" customFormat="1" ht="21" customHeight="1" x14ac:dyDescent="0.25">
      <c r="A238" s="34" t="s">
        <v>321</v>
      </c>
      <c r="B238" s="35"/>
      <c r="C238" s="35"/>
      <c r="D238" s="35"/>
      <c r="E238" s="35"/>
      <c r="F238" s="35"/>
      <c r="G238" s="35"/>
      <c r="H238" s="35"/>
    </row>
    <row r="239" spans="1:8" ht="20.25" customHeight="1" x14ac:dyDescent="0.25">
      <c r="A239" s="34" t="s">
        <v>7</v>
      </c>
      <c r="B239" s="35"/>
      <c r="C239" s="35"/>
      <c r="D239" s="35"/>
      <c r="E239" s="35"/>
      <c r="F239" s="35"/>
      <c r="G239" s="35"/>
      <c r="H239" s="35"/>
    </row>
    <row r="240" spans="1:8" ht="45" customHeight="1" x14ac:dyDescent="0.25">
      <c r="A240" s="10">
        <v>148</v>
      </c>
      <c r="B240" s="40" t="s">
        <v>322</v>
      </c>
      <c r="C240" s="41"/>
      <c r="D240" s="42"/>
      <c r="E240" s="20" t="s">
        <v>323</v>
      </c>
      <c r="F240" s="23"/>
      <c r="G240" s="23"/>
      <c r="H240" s="23">
        <f>9880.931-5000-2000-1000</f>
        <v>1880.9310000000005</v>
      </c>
    </row>
    <row r="241" spans="1:8" ht="52.5" customHeight="1" x14ac:dyDescent="0.25">
      <c r="A241" s="10">
        <v>149</v>
      </c>
      <c r="B241" s="40" t="s">
        <v>324</v>
      </c>
      <c r="C241" s="41"/>
      <c r="D241" s="42"/>
      <c r="E241" s="20" t="s">
        <v>325</v>
      </c>
      <c r="F241" s="23"/>
      <c r="G241" s="23"/>
      <c r="H241" s="23">
        <f>25083.7815-15000-3000-1000-3000</f>
        <v>3083.781500000001</v>
      </c>
    </row>
    <row r="242" spans="1:8" ht="38.25" customHeight="1" x14ac:dyDescent="0.25">
      <c r="A242" s="10">
        <v>150</v>
      </c>
      <c r="B242" s="40" t="s">
        <v>326</v>
      </c>
      <c r="C242" s="41"/>
      <c r="D242" s="42"/>
      <c r="E242" s="20" t="s">
        <v>327</v>
      </c>
      <c r="F242" s="23"/>
      <c r="G242" s="23">
        <v>6990</v>
      </c>
      <c r="H242" s="23">
        <v>592.22</v>
      </c>
    </row>
    <row r="243" spans="1:8" ht="63.75" customHeight="1" x14ac:dyDescent="0.25">
      <c r="A243" s="10">
        <v>151</v>
      </c>
      <c r="B243" s="47" t="s">
        <v>728</v>
      </c>
      <c r="C243" s="47"/>
      <c r="D243" s="47"/>
      <c r="E243" s="20" t="s">
        <v>741</v>
      </c>
      <c r="F243" s="23">
        <v>3279.4</v>
      </c>
      <c r="G243" s="23"/>
      <c r="H243" s="23"/>
    </row>
    <row r="244" spans="1:8" ht="18" customHeight="1" x14ac:dyDescent="0.25">
      <c r="A244" s="36" t="s">
        <v>30</v>
      </c>
      <c r="B244" s="37"/>
      <c r="C244" s="37"/>
      <c r="D244" s="37"/>
      <c r="E244" s="38"/>
      <c r="F244" s="22">
        <v>3279.4</v>
      </c>
      <c r="G244" s="22">
        <v>6990</v>
      </c>
      <c r="H244" s="22">
        <v>5556.9325000000017</v>
      </c>
    </row>
    <row r="245" spans="1:8" ht="20.25" customHeight="1" x14ac:dyDescent="0.25">
      <c r="A245" s="34" t="s">
        <v>29</v>
      </c>
      <c r="B245" s="35"/>
      <c r="C245" s="35"/>
      <c r="D245" s="35"/>
      <c r="E245" s="35"/>
      <c r="F245" s="35"/>
      <c r="G245" s="35"/>
      <c r="H245" s="35"/>
    </row>
    <row r="246" spans="1:8" ht="52.5" customHeight="1" x14ac:dyDescent="0.25">
      <c r="A246" s="10">
        <v>152</v>
      </c>
      <c r="B246" s="40" t="s">
        <v>328</v>
      </c>
      <c r="C246" s="41"/>
      <c r="D246" s="42"/>
      <c r="E246" s="20" t="s">
        <v>329</v>
      </c>
      <c r="F246" s="23"/>
      <c r="G246" s="23"/>
      <c r="H246" s="23">
        <f>5903.83941757085-3000-1000</f>
        <v>1903.8394175708499</v>
      </c>
    </row>
    <row r="247" spans="1:8" ht="52.5" customHeight="1" x14ac:dyDescent="0.25">
      <c r="A247" s="10">
        <v>153</v>
      </c>
      <c r="B247" s="40" t="s">
        <v>330</v>
      </c>
      <c r="C247" s="41"/>
      <c r="D247" s="42"/>
      <c r="E247" s="20" t="s">
        <v>331</v>
      </c>
      <c r="F247" s="23"/>
      <c r="G247" s="23"/>
      <c r="H247" s="23">
        <f>7500-4000-1000</f>
        <v>2500</v>
      </c>
    </row>
    <row r="248" spans="1:8" ht="52.5" customHeight="1" x14ac:dyDescent="0.25">
      <c r="A248" s="10">
        <v>154</v>
      </c>
      <c r="B248" s="40" t="s">
        <v>332</v>
      </c>
      <c r="C248" s="41"/>
      <c r="D248" s="42"/>
      <c r="E248" s="20" t="s">
        <v>333</v>
      </c>
      <c r="F248" s="23"/>
      <c r="G248" s="23"/>
      <c r="H248" s="23">
        <f>3188.02068-1500</f>
        <v>1688.0206800000001</v>
      </c>
    </row>
    <row r="249" spans="1:8" ht="34.5" customHeight="1" x14ac:dyDescent="0.25">
      <c r="A249" s="10">
        <v>155</v>
      </c>
      <c r="B249" s="40" t="s">
        <v>334</v>
      </c>
      <c r="C249" s="41"/>
      <c r="D249" s="42"/>
      <c r="E249" s="20" t="s">
        <v>335</v>
      </c>
      <c r="F249" s="23"/>
      <c r="G249" s="23"/>
      <c r="H249" s="23">
        <f>6180.45541757085-4000</f>
        <v>2180.4554175708499</v>
      </c>
    </row>
    <row r="250" spans="1:8" ht="42" customHeight="1" x14ac:dyDescent="0.25">
      <c r="A250" s="10">
        <v>156</v>
      </c>
      <c r="B250" s="40" t="s">
        <v>336</v>
      </c>
      <c r="C250" s="41"/>
      <c r="D250" s="42"/>
      <c r="E250" s="20" t="s">
        <v>337</v>
      </c>
      <c r="F250" s="23"/>
      <c r="G250" s="23"/>
      <c r="H250" s="23">
        <v>7421.0005799999999</v>
      </c>
    </row>
    <row r="251" spans="1:8" ht="24.75" customHeight="1" x14ac:dyDescent="0.25">
      <c r="A251" s="10">
        <v>157</v>
      </c>
      <c r="B251" s="40" t="s">
        <v>338</v>
      </c>
      <c r="C251" s="41"/>
      <c r="D251" s="42"/>
      <c r="E251" s="20" t="s">
        <v>339</v>
      </c>
      <c r="F251" s="23"/>
      <c r="G251" s="23"/>
      <c r="H251" s="23">
        <f>4058.8-2000</f>
        <v>2058.8000000000002</v>
      </c>
    </row>
    <row r="252" spans="1:8" ht="27.75" customHeight="1" x14ac:dyDescent="0.25">
      <c r="A252" s="10">
        <v>158</v>
      </c>
      <c r="B252" s="40" t="s">
        <v>340</v>
      </c>
      <c r="C252" s="41"/>
      <c r="D252" s="42"/>
      <c r="E252" s="20" t="s">
        <v>341</v>
      </c>
      <c r="F252" s="23"/>
      <c r="G252" s="23"/>
      <c r="H252" s="23">
        <f>7500-3000-1000</f>
        <v>3500</v>
      </c>
    </row>
    <row r="253" spans="1:8" ht="52.5" customHeight="1" x14ac:dyDescent="0.25">
      <c r="A253" s="10">
        <v>159</v>
      </c>
      <c r="B253" s="40" t="s">
        <v>342</v>
      </c>
      <c r="C253" s="41"/>
      <c r="D253" s="42"/>
      <c r="E253" s="20" t="s">
        <v>343</v>
      </c>
      <c r="F253" s="23"/>
      <c r="G253" s="23"/>
      <c r="H253" s="23">
        <f>8768.04941757085-5000</f>
        <v>3768.04941757085</v>
      </c>
    </row>
    <row r="254" spans="1:8" ht="38.25" customHeight="1" x14ac:dyDescent="0.25">
      <c r="A254" s="10">
        <v>160</v>
      </c>
      <c r="B254" s="40" t="s">
        <v>344</v>
      </c>
      <c r="C254" s="41"/>
      <c r="D254" s="42"/>
      <c r="E254" s="20" t="s">
        <v>345</v>
      </c>
      <c r="F254" s="23"/>
      <c r="G254" s="23"/>
      <c r="H254" s="23">
        <v>2173.0994175708497</v>
      </c>
    </row>
    <row r="255" spans="1:8" ht="39" customHeight="1" x14ac:dyDescent="0.25">
      <c r="A255" s="10">
        <v>161</v>
      </c>
      <c r="B255" s="40" t="s">
        <v>346</v>
      </c>
      <c r="C255" s="41"/>
      <c r="D255" s="42"/>
      <c r="E255" s="20" t="s">
        <v>347</v>
      </c>
      <c r="F255" s="23"/>
      <c r="G255" s="23"/>
      <c r="H255" s="23">
        <f>8064.81995757085-5000</f>
        <v>3064.8199575708504</v>
      </c>
    </row>
    <row r="256" spans="1:8" ht="42" customHeight="1" x14ac:dyDescent="0.25">
      <c r="A256" s="10">
        <v>162</v>
      </c>
      <c r="B256" s="40" t="s">
        <v>348</v>
      </c>
      <c r="C256" s="41"/>
      <c r="D256" s="42"/>
      <c r="E256" s="20" t="s">
        <v>349</v>
      </c>
      <c r="F256" s="23"/>
      <c r="G256" s="23"/>
      <c r="H256" s="23">
        <f>6540.12305757085-4000</f>
        <v>2540.1230575708496</v>
      </c>
    </row>
    <row r="257" spans="1:8" ht="39" customHeight="1" x14ac:dyDescent="0.25">
      <c r="A257" s="10">
        <v>163</v>
      </c>
      <c r="B257" s="40" t="s">
        <v>350</v>
      </c>
      <c r="C257" s="41"/>
      <c r="D257" s="42"/>
      <c r="E257" s="20" t="s">
        <v>351</v>
      </c>
      <c r="F257" s="23"/>
      <c r="G257" s="23"/>
      <c r="H257" s="23">
        <f>4536.1-2000</f>
        <v>2536.1000000000004</v>
      </c>
    </row>
    <row r="258" spans="1:8" ht="18" customHeight="1" x14ac:dyDescent="0.25">
      <c r="A258" s="36" t="s">
        <v>31</v>
      </c>
      <c r="B258" s="37"/>
      <c r="C258" s="37"/>
      <c r="D258" s="37"/>
      <c r="E258" s="38"/>
      <c r="F258" s="22"/>
      <c r="G258" s="22"/>
      <c r="H258" s="22">
        <v>35334.307945425098</v>
      </c>
    </row>
    <row r="259" spans="1:8" ht="15.75" x14ac:dyDescent="0.25">
      <c r="A259" s="39" t="s">
        <v>352</v>
      </c>
      <c r="B259" s="39"/>
      <c r="C259" s="39"/>
      <c r="D259" s="39"/>
      <c r="E259" s="39"/>
      <c r="F259" s="22">
        <v>3279.4</v>
      </c>
      <c r="G259" s="22">
        <v>6990</v>
      </c>
      <c r="H259" s="22">
        <v>40891.240445425101</v>
      </c>
    </row>
    <row r="260" spans="1:8" s="14" customFormat="1" ht="21" customHeight="1" x14ac:dyDescent="0.25">
      <c r="A260" s="34" t="s">
        <v>353</v>
      </c>
      <c r="B260" s="35"/>
      <c r="C260" s="35"/>
      <c r="D260" s="35"/>
      <c r="E260" s="35"/>
      <c r="F260" s="35"/>
      <c r="G260" s="35"/>
      <c r="H260" s="35"/>
    </row>
    <row r="261" spans="1:8" ht="20.25" customHeight="1" x14ac:dyDescent="0.25">
      <c r="A261" s="34" t="s">
        <v>7</v>
      </c>
      <c r="B261" s="35"/>
      <c r="C261" s="35"/>
      <c r="D261" s="35"/>
      <c r="E261" s="35"/>
      <c r="F261" s="35"/>
      <c r="G261" s="35"/>
      <c r="H261" s="35"/>
    </row>
    <row r="262" spans="1:8" ht="52.5" customHeight="1" x14ac:dyDescent="0.25">
      <c r="A262" s="10">
        <v>164</v>
      </c>
      <c r="B262" s="40" t="s">
        <v>354</v>
      </c>
      <c r="C262" s="41"/>
      <c r="D262" s="42"/>
      <c r="E262" s="20" t="s">
        <v>355</v>
      </c>
      <c r="F262" s="23"/>
      <c r="G262" s="23"/>
      <c r="H262" s="23">
        <f>6204.35388-5000</f>
        <v>1204.3538799999997</v>
      </c>
    </row>
    <row r="263" spans="1:8" ht="52.5" customHeight="1" x14ac:dyDescent="0.25">
      <c r="A263" s="10">
        <v>165</v>
      </c>
      <c r="B263" s="40" t="s">
        <v>356</v>
      </c>
      <c r="C263" s="41"/>
      <c r="D263" s="42"/>
      <c r="E263" s="20" t="s">
        <v>357</v>
      </c>
      <c r="F263" s="23"/>
      <c r="G263" s="23"/>
      <c r="H263" s="23">
        <v>1300</v>
      </c>
    </row>
    <row r="264" spans="1:8" ht="52.5" customHeight="1" x14ac:dyDescent="0.25">
      <c r="A264" s="10">
        <v>166</v>
      </c>
      <c r="B264" s="60" t="s">
        <v>729</v>
      </c>
      <c r="C264" s="61"/>
      <c r="D264" s="62"/>
      <c r="E264" s="20" t="s">
        <v>387</v>
      </c>
      <c r="F264" s="23">
        <v>3434.3</v>
      </c>
      <c r="G264" s="23"/>
      <c r="H264" s="23"/>
    </row>
    <row r="265" spans="1:8" ht="18" customHeight="1" x14ac:dyDescent="0.25">
      <c r="A265" s="36" t="s">
        <v>30</v>
      </c>
      <c r="B265" s="37"/>
      <c r="C265" s="37"/>
      <c r="D265" s="37"/>
      <c r="E265" s="38"/>
      <c r="F265" s="22">
        <v>3434.3</v>
      </c>
      <c r="G265" s="22"/>
      <c r="H265" s="22">
        <v>2504.3538799999997</v>
      </c>
    </row>
    <row r="266" spans="1:8" ht="20.25" customHeight="1" x14ac:dyDescent="0.25">
      <c r="A266" s="34" t="s">
        <v>29</v>
      </c>
      <c r="B266" s="35"/>
      <c r="C266" s="35"/>
      <c r="D266" s="35"/>
      <c r="E266" s="35"/>
      <c r="F266" s="35"/>
      <c r="G266" s="35"/>
      <c r="H266" s="35"/>
    </row>
    <row r="267" spans="1:8" ht="42.75" customHeight="1" x14ac:dyDescent="0.25">
      <c r="A267" s="10">
        <v>167</v>
      </c>
      <c r="B267" s="40" t="s">
        <v>358</v>
      </c>
      <c r="C267" s="41"/>
      <c r="D267" s="42"/>
      <c r="E267" s="20" t="s">
        <v>359</v>
      </c>
      <c r="F267" s="23"/>
      <c r="G267" s="23"/>
      <c r="H267" s="23">
        <f>6691.76-3000</f>
        <v>3691.76</v>
      </c>
    </row>
    <row r="268" spans="1:8" ht="42.75" customHeight="1" x14ac:dyDescent="0.25">
      <c r="A268" s="10">
        <v>168</v>
      </c>
      <c r="B268" s="40" t="s">
        <v>360</v>
      </c>
      <c r="C268" s="41"/>
      <c r="D268" s="42"/>
      <c r="E268" s="20" t="s">
        <v>361</v>
      </c>
      <c r="F268" s="23"/>
      <c r="G268" s="23"/>
      <c r="H268" s="23">
        <f>6998.312-4000</f>
        <v>2998.3119999999999</v>
      </c>
    </row>
    <row r="269" spans="1:8" ht="38.25" customHeight="1" x14ac:dyDescent="0.25">
      <c r="A269" s="10">
        <v>169</v>
      </c>
      <c r="B269" s="40" t="s">
        <v>362</v>
      </c>
      <c r="C269" s="41"/>
      <c r="D269" s="42"/>
      <c r="E269" s="20" t="s">
        <v>363</v>
      </c>
      <c r="F269" s="23"/>
      <c r="G269" s="23"/>
      <c r="H269" s="23">
        <f>8671.63141757085-6000</f>
        <v>2671.6314175708503</v>
      </c>
    </row>
    <row r="270" spans="1:8" ht="33.75" customHeight="1" x14ac:dyDescent="0.25">
      <c r="A270" s="10">
        <v>170</v>
      </c>
      <c r="B270" s="40" t="s">
        <v>364</v>
      </c>
      <c r="C270" s="41"/>
      <c r="D270" s="42"/>
      <c r="E270" s="20" t="s">
        <v>365</v>
      </c>
      <c r="F270" s="23"/>
      <c r="G270" s="23"/>
      <c r="H270" s="23">
        <f>7497.07002-5000</f>
        <v>2497.0700200000001</v>
      </c>
    </row>
    <row r="271" spans="1:8" ht="34.5" customHeight="1" x14ac:dyDescent="0.25">
      <c r="A271" s="10">
        <v>171</v>
      </c>
      <c r="B271" s="40" t="s">
        <v>366</v>
      </c>
      <c r="C271" s="41"/>
      <c r="D271" s="42"/>
      <c r="E271" s="20" t="s">
        <v>367</v>
      </c>
      <c r="F271" s="23"/>
      <c r="G271" s="23"/>
      <c r="H271" s="23">
        <v>1685.893</v>
      </c>
    </row>
    <row r="272" spans="1:8" ht="50.25" customHeight="1" x14ac:dyDescent="0.25">
      <c r="A272" s="10">
        <v>172</v>
      </c>
      <c r="B272" s="40" t="s">
        <v>368</v>
      </c>
      <c r="C272" s="41"/>
      <c r="D272" s="42"/>
      <c r="E272" s="20" t="s">
        <v>369</v>
      </c>
      <c r="F272" s="23"/>
      <c r="G272" s="23"/>
      <c r="H272" s="23">
        <f>2408.74941757085-1000</f>
        <v>1408.7494175708498</v>
      </c>
    </row>
    <row r="273" spans="1:8" ht="84" customHeight="1" x14ac:dyDescent="0.25">
      <c r="A273" s="10">
        <v>173</v>
      </c>
      <c r="B273" s="40" t="s">
        <v>370</v>
      </c>
      <c r="C273" s="41"/>
      <c r="D273" s="42"/>
      <c r="E273" s="20" t="s">
        <v>371</v>
      </c>
      <c r="F273" s="23"/>
      <c r="G273" s="23"/>
      <c r="H273" s="23">
        <f>8365.85077757085-6000</f>
        <v>2365.8507775708495</v>
      </c>
    </row>
    <row r="274" spans="1:8" ht="42" customHeight="1" x14ac:dyDescent="0.25">
      <c r="A274" s="10">
        <v>174</v>
      </c>
      <c r="B274" s="40" t="s">
        <v>372</v>
      </c>
      <c r="C274" s="41"/>
      <c r="D274" s="42"/>
      <c r="E274" s="20" t="s">
        <v>373</v>
      </c>
      <c r="F274" s="23"/>
      <c r="G274" s="23"/>
      <c r="H274" s="23">
        <f>5110.70686757085-3000</f>
        <v>2110.7068675708497</v>
      </c>
    </row>
    <row r="275" spans="1:8" ht="52.5" customHeight="1" x14ac:dyDescent="0.25">
      <c r="A275" s="10">
        <v>175</v>
      </c>
      <c r="B275" s="40" t="s">
        <v>374</v>
      </c>
      <c r="C275" s="41"/>
      <c r="D275" s="42"/>
      <c r="E275" s="20" t="s">
        <v>375</v>
      </c>
      <c r="F275" s="23"/>
      <c r="G275" s="23"/>
      <c r="H275" s="23">
        <f>8499.63941757085-6000</f>
        <v>2499.6394175708501</v>
      </c>
    </row>
    <row r="276" spans="1:8" ht="52.5" customHeight="1" x14ac:dyDescent="0.25">
      <c r="A276" s="10">
        <v>176</v>
      </c>
      <c r="B276" s="40" t="s">
        <v>376</v>
      </c>
      <c r="C276" s="41"/>
      <c r="D276" s="42"/>
      <c r="E276" s="20" t="s">
        <v>377</v>
      </c>
      <c r="F276" s="23"/>
      <c r="G276" s="23"/>
      <c r="H276" s="23">
        <v>1564.6413475708503</v>
      </c>
    </row>
    <row r="277" spans="1:8" ht="41.25" customHeight="1" x14ac:dyDescent="0.25">
      <c r="A277" s="10">
        <v>177</v>
      </c>
      <c r="B277" s="40" t="s">
        <v>378</v>
      </c>
      <c r="C277" s="41"/>
      <c r="D277" s="42"/>
      <c r="E277" s="20" t="s">
        <v>379</v>
      </c>
      <c r="F277" s="23"/>
      <c r="G277" s="23"/>
      <c r="H277" s="23">
        <f>3040.61984757085-1800</f>
        <v>1240.6198475708502</v>
      </c>
    </row>
    <row r="278" spans="1:8" ht="32.25" customHeight="1" x14ac:dyDescent="0.25">
      <c r="A278" s="10">
        <v>178</v>
      </c>
      <c r="B278" s="40" t="s">
        <v>380</v>
      </c>
      <c r="C278" s="41"/>
      <c r="D278" s="42"/>
      <c r="E278" s="20" t="s">
        <v>381</v>
      </c>
      <c r="F278" s="23"/>
      <c r="G278" s="23"/>
      <c r="H278" s="23">
        <f>8295.55941757085-6000</f>
        <v>2295.5594175708502</v>
      </c>
    </row>
    <row r="279" spans="1:8" ht="52.5" customHeight="1" x14ac:dyDescent="0.25">
      <c r="A279" s="10">
        <v>179</v>
      </c>
      <c r="B279" s="40" t="s">
        <v>382</v>
      </c>
      <c r="C279" s="41"/>
      <c r="D279" s="42"/>
      <c r="E279" s="20" t="s">
        <v>383</v>
      </c>
      <c r="F279" s="23"/>
      <c r="G279" s="23"/>
      <c r="H279" s="23">
        <f>3552.66241757085-2000</f>
        <v>1552.6624175708498</v>
      </c>
    </row>
    <row r="280" spans="1:8" ht="36.75" customHeight="1" x14ac:dyDescent="0.25">
      <c r="A280" s="10">
        <v>180</v>
      </c>
      <c r="B280" s="40" t="s">
        <v>384</v>
      </c>
      <c r="C280" s="41"/>
      <c r="D280" s="42"/>
      <c r="E280" s="20" t="s">
        <v>385</v>
      </c>
      <c r="F280" s="23"/>
      <c r="G280" s="23"/>
      <c r="H280" s="23">
        <f>2407.74241757085-1500</f>
        <v>907.74241757085019</v>
      </c>
    </row>
    <row r="281" spans="1:8" ht="36" customHeight="1" x14ac:dyDescent="0.25">
      <c r="A281" s="10">
        <v>181</v>
      </c>
      <c r="B281" s="40" t="s">
        <v>386</v>
      </c>
      <c r="C281" s="41"/>
      <c r="D281" s="42"/>
      <c r="E281" s="20" t="s">
        <v>387</v>
      </c>
      <c r="F281" s="23"/>
      <c r="G281" s="23"/>
      <c r="H281" s="23">
        <f>3551.00341757085-2000</f>
        <v>1551.0034175708502</v>
      </c>
    </row>
    <row r="282" spans="1:8" ht="45" customHeight="1" x14ac:dyDescent="0.25">
      <c r="A282" s="10">
        <v>182</v>
      </c>
      <c r="B282" s="40" t="s">
        <v>388</v>
      </c>
      <c r="C282" s="41"/>
      <c r="D282" s="42"/>
      <c r="E282" s="20" t="s">
        <v>389</v>
      </c>
      <c r="F282" s="23"/>
      <c r="G282" s="23"/>
      <c r="H282" s="23">
        <f>3507.63361757085-2000</f>
        <v>1507.6336175708502</v>
      </c>
    </row>
    <row r="283" spans="1:8" ht="18" customHeight="1" x14ac:dyDescent="0.25">
      <c r="A283" s="36" t="s">
        <v>31</v>
      </c>
      <c r="B283" s="37"/>
      <c r="C283" s="37"/>
      <c r="D283" s="37"/>
      <c r="E283" s="38"/>
      <c r="F283" s="22"/>
      <c r="G283" s="22"/>
      <c r="H283" s="22">
        <v>32549.475400850199</v>
      </c>
    </row>
    <row r="284" spans="1:8" ht="15.75" x14ac:dyDescent="0.25">
      <c r="A284" s="39" t="s">
        <v>390</v>
      </c>
      <c r="B284" s="39"/>
      <c r="C284" s="39"/>
      <c r="D284" s="39"/>
      <c r="E284" s="39"/>
      <c r="F284" s="22">
        <v>3434.3</v>
      </c>
      <c r="G284" s="22"/>
      <c r="H284" s="22">
        <v>35053.829280850201</v>
      </c>
    </row>
    <row r="285" spans="1:8" s="14" customFormat="1" ht="21" customHeight="1" x14ac:dyDescent="0.25">
      <c r="A285" s="34" t="s">
        <v>391</v>
      </c>
      <c r="B285" s="35"/>
      <c r="C285" s="35"/>
      <c r="D285" s="35"/>
      <c r="E285" s="35"/>
      <c r="F285" s="35"/>
      <c r="G285" s="35"/>
      <c r="H285" s="35"/>
    </row>
    <row r="286" spans="1:8" ht="20.25" customHeight="1" x14ac:dyDescent="0.25">
      <c r="A286" s="34" t="s">
        <v>7</v>
      </c>
      <c r="B286" s="35"/>
      <c r="C286" s="35"/>
      <c r="D286" s="35"/>
      <c r="E286" s="35"/>
      <c r="F286" s="35"/>
      <c r="G286" s="35"/>
      <c r="H286" s="35"/>
    </row>
    <row r="287" spans="1:8" ht="101.25" customHeight="1" x14ac:dyDescent="0.25">
      <c r="A287" s="10">
        <v>183</v>
      </c>
      <c r="B287" s="40" t="s">
        <v>392</v>
      </c>
      <c r="C287" s="41"/>
      <c r="D287" s="42"/>
      <c r="E287" s="20" t="s">
        <v>396</v>
      </c>
      <c r="F287" s="23"/>
      <c r="G287" s="23"/>
      <c r="H287" s="23">
        <f>20877.49033-15000-1000-2000</f>
        <v>2877.4903300000005</v>
      </c>
    </row>
    <row r="288" spans="1:8" ht="54" customHeight="1" x14ac:dyDescent="0.25">
      <c r="A288" s="10">
        <v>184</v>
      </c>
      <c r="B288" s="40" t="s">
        <v>393</v>
      </c>
      <c r="C288" s="41"/>
      <c r="D288" s="42"/>
      <c r="E288" s="20" t="s">
        <v>397</v>
      </c>
      <c r="F288" s="23"/>
      <c r="G288" s="23"/>
      <c r="H288" s="23">
        <f>15158.088975-10000-1000-2000</f>
        <v>2158.0889750000006</v>
      </c>
    </row>
    <row r="289" spans="1:8" ht="165" customHeight="1" x14ac:dyDescent="0.25">
      <c r="A289" s="10">
        <v>185</v>
      </c>
      <c r="B289" s="40" t="s">
        <v>394</v>
      </c>
      <c r="C289" s="41"/>
      <c r="D289" s="42"/>
      <c r="E289" s="20" t="s">
        <v>395</v>
      </c>
      <c r="F289" s="23"/>
      <c r="G289" s="23"/>
      <c r="H289" s="23">
        <f>25456.769995-15000-3000-3000</f>
        <v>4456.7699949999987</v>
      </c>
    </row>
    <row r="290" spans="1:8" ht="51" customHeight="1" x14ac:dyDescent="0.25">
      <c r="A290" s="10">
        <v>186</v>
      </c>
      <c r="B290" s="47" t="s">
        <v>736</v>
      </c>
      <c r="C290" s="47"/>
      <c r="D290" s="47"/>
      <c r="E290" s="20" t="s">
        <v>737</v>
      </c>
      <c r="F290" s="23">
        <v>19920.900000000001</v>
      </c>
      <c r="G290" s="23"/>
      <c r="H290" s="23"/>
    </row>
    <row r="291" spans="1:8" ht="18" customHeight="1" x14ac:dyDescent="0.25">
      <c r="A291" s="36" t="s">
        <v>30</v>
      </c>
      <c r="B291" s="37"/>
      <c r="C291" s="37"/>
      <c r="D291" s="37"/>
      <c r="E291" s="38"/>
      <c r="F291" s="22">
        <v>19920.900000000001</v>
      </c>
      <c r="G291" s="22">
        <v>0</v>
      </c>
      <c r="H291" s="22">
        <v>9492.3492999999999</v>
      </c>
    </row>
    <row r="292" spans="1:8" ht="20.25" customHeight="1" x14ac:dyDescent="0.25">
      <c r="A292" s="34" t="s">
        <v>29</v>
      </c>
      <c r="B292" s="35"/>
      <c r="C292" s="35"/>
      <c r="D292" s="35"/>
      <c r="E292" s="35"/>
      <c r="F292" s="35"/>
      <c r="G292" s="35"/>
      <c r="H292" s="35"/>
    </row>
    <row r="293" spans="1:8" ht="42" customHeight="1" x14ac:dyDescent="0.25">
      <c r="A293" s="10">
        <v>187</v>
      </c>
      <c r="B293" s="40" t="s">
        <v>398</v>
      </c>
      <c r="C293" s="41"/>
      <c r="D293" s="42"/>
      <c r="E293" s="20" t="s">
        <v>399</v>
      </c>
      <c r="F293" s="23"/>
      <c r="G293" s="23"/>
      <c r="H293" s="23">
        <v>924.04399999999998</v>
      </c>
    </row>
    <row r="294" spans="1:8" ht="42" customHeight="1" x14ac:dyDescent="0.25">
      <c r="A294" s="10">
        <v>188</v>
      </c>
      <c r="B294" s="40" t="s">
        <v>400</v>
      </c>
      <c r="C294" s="41"/>
      <c r="D294" s="42"/>
      <c r="E294" s="20" t="s">
        <v>401</v>
      </c>
      <c r="F294" s="23"/>
      <c r="G294" s="23"/>
      <c r="H294" s="23">
        <f>8277.68241757085-6000</f>
        <v>2277.6824175708498</v>
      </c>
    </row>
    <row r="295" spans="1:8" ht="87" customHeight="1" x14ac:dyDescent="0.25">
      <c r="A295" s="10">
        <v>189</v>
      </c>
      <c r="B295" s="40" t="s">
        <v>402</v>
      </c>
      <c r="C295" s="41"/>
      <c r="D295" s="42"/>
      <c r="E295" s="20" t="s">
        <v>403</v>
      </c>
      <c r="F295" s="23"/>
      <c r="G295" s="23"/>
      <c r="H295" s="23">
        <f>7119.59941757085-5000</f>
        <v>2119.5994175708502</v>
      </c>
    </row>
    <row r="296" spans="1:8" ht="41.25" customHeight="1" x14ac:dyDescent="0.25">
      <c r="A296" s="10">
        <v>190</v>
      </c>
      <c r="B296" s="40" t="s">
        <v>404</v>
      </c>
      <c r="C296" s="41"/>
      <c r="D296" s="42"/>
      <c r="E296" s="20" t="s">
        <v>405</v>
      </c>
      <c r="F296" s="23"/>
      <c r="G296" s="23"/>
      <c r="H296" s="23">
        <v>1267.1545475708499</v>
      </c>
    </row>
    <row r="297" spans="1:8" ht="36.75" customHeight="1" x14ac:dyDescent="0.25">
      <c r="A297" s="10">
        <v>191</v>
      </c>
      <c r="B297" s="40" t="s">
        <v>406</v>
      </c>
      <c r="C297" s="41"/>
      <c r="D297" s="42"/>
      <c r="E297" s="20" t="s">
        <v>407</v>
      </c>
      <c r="F297" s="23"/>
      <c r="G297" s="23"/>
      <c r="H297" s="23">
        <f>3766.72341757085-2000</f>
        <v>1766.72341757085</v>
      </c>
    </row>
    <row r="298" spans="1:8" ht="25.5" customHeight="1" x14ac:dyDescent="0.25">
      <c r="A298" s="10">
        <v>192</v>
      </c>
      <c r="B298" s="40" t="s">
        <v>408</v>
      </c>
      <c r="C298" s="41"/>
      <c r="D298" s="42"/>
      <c r="E298" s="20" t="s">
        <v>409</v>
      </c>
      <c r="F298" s="23"/>
      <c r="G298" s="23"/>
      <c r="H298" s="23">
        <f>8042.72886757085-6000</f>
        <v>2042.7288675708496</v>
      </c>
    </row>
    <row r="299" spans="1:8" ht="40.5" customHeight="1" x14ac:dyDescent="0.25">
      <c r="A299" s="10">
        <v>193</v>
      </c>
      <c r="B299" s="40" t="s">
        <v>410</v>
      </c>
      <c r="C299" s="41"/>
      <c r="D299" s="42"/>
      <c r="E299" s="20" t="s">
        <v>411</v>
      </c>
      <c r="F299" s="23"/>
      <c r="G299" s="23"/>
      <c r="H299" s="23">
        <f>3376.50072757085-2000</f>
        <v>1376.5007275708499</v>
      </c>
    </row>
    <row r="300" spans="1:8" ht="39" customHeight="1" x14ac:dyDescent="0.25">
      <c r="A300" s="10">
        <v>191</v>
      </c>
      <c r="B300" s="40" t="s">
        <v>412</v>
      </c>
      <c r="C300" s="41"/>
      <c r="D300" s="42"/>
      <c r="E300" s="20" t="s">
        <v>413</v>
      </c>
      <c r="F300" s="23"/>
      <c r="G300" s="23"/>
      <c r="H300" s="23">
        <f>3795.55941757085-2000</f>
        <v>1795.5594175708502</v>
      </c>
    </row>
    <row r="301" spans="1:8" ht="18" customHeight="1" x14ac:dyDescent="0.25">
      <c r="A301" s="36" t="s">
        <v>31</v>
      </c>
      <c r="B301" s="37"/>
      <c r="C301" s="37"/>
      <c r="D301" s="37"/>
      <c r="E301" s="38"/>
      <c r="F301" s="22"/>
      <c r="G301" s="22"/>
      <c r="H301" s="22">
        <v>13569.99281299595</v>
      </c>
    </row>
    <row r="302" spans="1:8" ht="15.75" x14ac:dyDescent="0.25">
      <c r="A302" s="39" t="s">
        <v>414</v>
      </c>
      <c r="B302" s="39"/>
      <c r="C302" s="39"/>
      <c r="D302" s="39"/>
      <c r="E302" s="39"/>
      <c r="F302" s="22">
        <v>19920.900000000001</v>
      </c>
      <c r="G302" s="22"/>
      <c r="H302" s="22">
        <v>23062.34211299595</v>
      </c>
    </row>
    <row r="303" spans="1:8" s="14" customFormat="1" ht="21" customHeight="1" x14ac:dyDescent="0.25">
      <c r="A303" s="34" t="s">
        <v>415</v>
      </c>
      <c r="B303" s="35"/>
      <c r="C303" s="35"/>
      <c r="D303" s="35"/>
      <c r="E303" s="35"/>
      <c r="F303" s="35"/>
      <c r="G303" s="35"/>
      <c r="H303" s="35"/>
    </row>
    <row r="304" spans="1:8" ht="20.25" customHeight="1" x14ac:dyDescent="0.25">
      <c r="A304" s="34" t="s">
        <v>7</v>
      </c>
      <c r="B304" s="35"/>
      <c r="C304" s="35"/>
      <c r="D304" s="35"/>
      <c r="E304" s="35"/>
      <c r="F304" s="35"/>
      <c r="G304" s="35"/>
      <c r="H304" s="35"/>
    </row>
    <row r="305" spans="1:8" ht="231.75" customHeight="1" x14ac:dyDescent="0.25">
      <c r="A305" s="10">
        <v>192</v>
      </c>
      <c r="B305" s="40" t="s">
        <v>416</v>
      </c>
      <c r="C305" s="41"/>
      <c r="D305" s="42"/>
      <c r="E305" s="20" t="s">
        <v>417</v>
      </c>
      <c r="F305" s="23"/>
      <c r="G305" s="23"/>
      <c r="H305" s="23">
        <f>22383.99-10000-5000-3000</f>
        <v>4383.9900000000016</v>
      </c>
    </row>
    <row r="306" spans="1:8" ht="69.75" customHeight="1" x14ac:dyDescent="0.25">
      <c r="A306" s="10">
        <v>193</v>
      </c>
      <c r="B306" s="40" t="s">
        <v>418</v>
      </c>
      <c r="C306" s="41"/>
      <c r="D306" s="42"/>
      <c r="E306" s="20" t="s">
        <v>419</v>
      </c>
      <c r="F306" s="23"/>
      <c r="G306" s="23"/>
      <c r="H306" s="23">
        <f>17065.924325-10000-3000-2000</f>
        <v>2065.924325</v>
      </c>
    </row>
    <row r="307" spans="1:8" ht="18" customHeight="1" x14ac:dyDescent="0.25">
      <c r="A307" s="36" t="s">
        <v>30</v>
      </c>
      <c r="B307" s="37"/>
      <c r="C307" s="37"/>
      <c r="D307" s="37"/>
      <c r="E307" s="38"/>
      <c r="F307" s="22"/>
      <c r="G307" s="22"/>
      <c r="H307" s="22">
        <v>6449.9143250000016</v>
      </c>
    </row>
    <row r="308" spans="1:8" ht="20.25" customHeight="1" x14ac:dyDescent="0.25">
      <c r="A308" s="34" t="s">
        <v>29</v>
      </c>
      <c r="B308" s="35"/>
      <c r="C308" s="35"/>
      <c r="D308" s="35"/>
      <c r="E308" s="35"/>
      <c r="F308" s="35"/>
      <c r="G308" s="35"/>
      <c r="H308" s="35"/>
    </row>
    <row r="309" spans="1:8" ht="36.75" customHeight="1" x14ac:dyDescent="0.25">
      <c r="A309" s="10">
        <v>194</v>
      </c>
      <c r="B309" s="40" t="s">
        <v>420</v>
      </c>
      <c r="C309" s="41"/>
      <c r="D309" s="42"/>
      <c r="E309" s="20" t="s">
        <v>421</v>
      </c>
      <c r="F309" s="23"/>
      <c r="G309" s="23"/>
      <c r="H309" s="23">
        <f>8149.38741757085-6000</f>
        <v>2149.3874175708497</v>
      </c>
    </row>
    <row r="310" spans="1:8" ht="52.5" customHeight="1" x14ac:dyDescent="0.25">
      <c r="A310" s="10">
        <v>195</v>
      </c>
      <c r="B310" s="40" t="s">
        <v>422</v>
      </c>
      <c r="C310" s="41"/>
      <c r="D310" s="42"/>
      <c r="E310" s="20" t="s">
        <v>423</v>
      </c>
      <c r="F310" s="23"/>
      <c r="G310" s="23"/>
      <c r="H310" s="23">
        <f>5478.07291757085-3000</f>
        <v>2478.0729175708502</v>
      </c>
    </row>
    <row r="311" spans="1:8" ht="52.5" customHeight="1" x14ac:dyDescent="0.25">
      <c r="A311" s="10">
        <v>196</v>
      </c>
      <c r="B311" s="40" t="s">
        <v>424</v>
      </c>
      <c r="C311" s="41"/>
      <c r="D311" s="42"/>
      <c r="E311" s="20" t="s">
        <v>425</v>
      </c>
      <c r="F311" s="23"/>
      <c r="G311" s="23"/>
      <c r="H311" s="23">
        <f>6657.55141757085-4000</f>
        <v>2657.5514175708504</v>
      </c>
    </row>
    <row r="312" spans="1:8" ht="52.5" customHeight="1" x14ac:dyDescent="0.25">
      <c r="A312" s="10">
        <v>197</v>
      </c>
      <c r="B312" s="40" t="s">
        <v>426</v>
      </c>
      <c r="C312" s="41"/>
      <c r="D312" s="42"/>
      <c r="E312" s="20" t="s">
        <v>427</v>
      </c>
      <c r="F312" s="23"/>
      <c r="G312" s="23"/>
      <c r="H312" s="23">
        <f>6419.30341757085-4000</f>
        <v>2419.3034175708499</v>
      </c>
    </row>
    <row r="313" spans="1:8" ht="52.5" customHeight="1" x14ac:dyDescent="0.25">
      <c r="A313" s="10">
        <v>198</v>
      </c>
      <c r="B313" s="40" t="s">
        <v>428</v>
      </c>
      <c r="C313" s="41"/>
      <c r="D313" s="42"/>
      <c r="E313" s="20" t="s">
        <v>429</v>
      </c>
      <c r="F313" s="23"/>
      <c r="G313" s="23"/>
      <c r="H313" s="23">
        <f>8355.00941757085-6000</f>
        <v>2355.0094175708491</v>
      </c>
    </row>
    <row r="314" spans="1:8" ht="52.5" customHeight="1" x14ac:dyDescent="0.25">
      <c r="A314" s="10">
        <v>199</v>
      </c>
      <c r="B314" s="40" t="s">
        <v>430</v>
      </c>
      <c r="C314" s="41"/>
      <c r="D314" s="42"/>
      <c r="E314" s="20" t="s">
        <v>431</v>
      </c>
      <c r="F314" s="23"/>
      <c r="G314" s="23"/>
      <c r="H314" s="23">
        <v>2341.7044175708497</v>
      </c>
    </row>
    <row r="315" spans="1:8" ht="52.5" customHeight="1" x14ac:dyDescent="0.25">
      <c r="A315" s="10">
        <v>200</v>
      </c>
      <c r="B315" s="40" t="s">
        <v>432</v>
      </c>
      <c r="C315" s="41"/>
      <c r="D315" s="42"/>
      <c r="E315" s="20" t="s">
        <v>433</v>
      </c>
      <c r="F315" s="23"/>
      <c r="G315" s="23"/>
      <c r="H315" s="23">
        <v>1160.8890975708503</v>
      </c>
    </row>
    <row r="316" spans="1:8" ht="34.5" customHeight="1" x14ac:dyDescent="0.25">
      <c r="A316" s="10">
        <v>201</v>
      </c>
      <c r="B316" s="40" t="s">
        <v>434</v>
      </c>
      <c r="C316" s="41"/>
      <c r="D316" s="42"/>
      <c r="E316" s="20" t="s">
        <v>435</v>
      </c>
      <c r="F316" s="23"/>
      <c r="G316" s="23"/>
      <c r="H316" s="23">
        <v>2745.6134175708498</v>
      </c>
    </row>
    <row r="317" spans="1:8" ht="75.75" customHeight="1" x14ac:dyDescent="0.25">
      <c r="A317" s="10">
        <v>202</v>
      </c>
      <c r="B317" s="40" t="s">
        <v>436</v>
      </c>
      <c r="C317" s="41"/>
      <c r="D317" s="42"/>
      <c r="E317" s="20" t="s">
        <v>437</v>
      </c>
      <c r="F317" s="23"/>
      <c r="G317" s="23"/>
      <c r="H317" s="23">
        <f>2722.79341757085-1500</f>
        <v>1222.7934175708501</v>
      </c>
    </row>
    <row r="318" spans="1:8" ht="66" customHeight="1" x14ac:dyDescent="0.25">
      <c r="A318" s="10">
        <v>203</v>
      </c>
      <c r="B318" s="40" t="s">
        <v>438</v>
      </c>
      <c r="C318" s="41"/>
      <c r="D318" s="42"/>
      <c r="E318" s="20" t="s">
        <v>439</v>
      </c>
      <c r="F318" s="23"/>
      <c r="G318" s="23"/>
      <c r="H318" s="23">
        <f>2788.45041757085-1800</f>
        <v>988.45041757084982</v>
      </c>
    </row>
    <row r="319" spans="1:8" ht="18" customHeight="1" x14ac:dyDescent="0.25">
      <c r="A319" s="36" t="s">
        <v>31</v>
      </c>
      <c r="B319" s="37"/>
      <c r="C319" s="37"/>
      <c r="D319" s="37"/>
      <c r="E319" s="38"/>
      <c r="F319" s="22"/>
      <c r="G319" s="22"/>
      <c r="H319" s="22">
        <v>20518.775355708498</v>
      </c>
    </row>
    <row r="320" spans="1:8" ht="15.75" x14ac:dyDescent="0.25">
      <c r="A320" s="39" t="s">
        <v>440</v>
      </c>
      <c r="B320" s="39"/>
      <c r="C320" s="39"/>
      <c r="D320" s="39"/>
      <c r="E320" s="39"/>
      <c r="F320" s="22"/>
      <c r="G320" s="22"/>
      <c r="H320" s="22">
        <v>26968.6896807085</v>
      </c>
    </row>
    <row r="321" spans="1:8" s="14" customFormat="1" ht="21" customHeight="1" x14ac:dyDescent="0.25">
      <c r="A321" s="34" t="s">
        <v>441</v>
      </c>
      <c r="B321" s="35"/>
      <c r="C321" s="35"/>
      <c r="D321" s="35"/>
      <c r="E321" s="35"/>
      <c r="F321" s="35"/>
      <c r="G321" s="35"/>
      <c r="H321" s="35"/>
    </row>
    <row r="322" spans="1:8" ht="20.25" customHeight="1" x14ac:dyDescent="0.25">
      <c r="A322" s="34" t="s">
        <v>7</v>
      </c>
      <c r="B322" s="35"/>
      <c r="C322" s="35"/>
      <c r="D322" s="35"/>
      <c r="E322" s="35"/>
      <c r="F322" s="35"/>
      <c r="G322" s="35"/>
      <c r="H322" s="35"/>
    </row>
    <row r="323" spans="1:8" ht="52.5" customHeight="1" x14ac:dyDescent="0.25">
      <c r="A323" s="10">
        <v>204</v>
      </c>
      <c r="B323" s="40" t="s">
        <v>442</v>
      </c>
      <c r="C323" s="41"/>
      <c r="D323" s="42"/>
      <c r="E323" s="20" t="s">
        <v>443</v>
      </c>
      <c r="F323" s="23"/>
      <c r="G323" s="23">
        <v>1475.28792</v>
      </c>
      <c r="H323" s="23">
        <f>1635.726741-500</f>
        <v>1135.7267409999999</v>
      </c>
    </row>
    <row r="324" spans="1:8" ht="54" customHeight="1" x14ac:dyDescent="0.25">
      <c r="A324" s="10">
        <v>205</v>
      </c>
      <c r="B324" s="47" t="s">
        <v>727</v>
      </c>
      <c r="C324" s="47"/>
      <c r="D324" s="47"/>
      <c r="E324" s="32" t="s">
        <v>740</v>
      </c>
      <c r="F324" s="23">
        <v>20966.5</v>
      </c>
      <c r="G324" s="23"/>
      <c r="H324" s="23"/>
    </row>
    <row r="325" spans="1:8" ht="18" customHeight="1" x14ac:dyDescent="0.25">
      <c r="A325" s="36" t="s">
        <v>30</v>
      </c>
      <c r="B325" s="37"/>
      <c r="C325" s="37"/>
      <c r="D325" s="37"/>
      <c r="E325" s="38"/>
      <c r="F325" s="22">
        <v>20966.5</v>
      </c>
      <c r="G325" s="22">
        <v>1475.28792</v>
      </c>
      <c r="H325" s="22">
        <v>1135.7267409999999</v>
      </c>
    </row>
    <row r="326" spans="1:8" ht="20.25" customHeight="1" x14ac:dyDescent="0.25">
      <c r="A326" s="34" t="s">
        <v>29</v>
      </c>
      <c r="B326" s="35"/>
      <c r="C326" s="35"/>
      <c r="D326" s="35"/>
      <c r="E326" s="35"/>
      <c r="F326" s="35"/>
      <c r="G326" s="35"/>
      <c r="H326" s="35"/>
    </row>
    <row r="327" spans="1:8" ht="39.75" customHeight="1" x14ac:dyDescent="0.25">
      <c r="A327" s="10">
        <v>206</v>
      </c>
      <c r="B327" s="40" t="s">
        <v>444</v>
      </c>
      <c r="C327" s="41"/>
      <c r="D327" s="42"/>
      <c r="E327" s="20" t="s">
        <v>445</v>
      </c>
      <c r="F327" s="23"/>
      <c r="G327" s="23"/>
      <c r="H327" s="23">
        <f>6935.216-4000</f>
        <v>2935.2160000000003</v>
      </c>
    </row>
    <row r="328" spans="1:8" ht="120" customHeight="1" x14ac:dyDescent="0.25">
      <c r="A328" s="10">
        <v>207</v>
      </c>
      <c r="B328" s="40" t="s">
        <v>446</v>
      </c>
      <c r="C328" s="41"/>
      <c r="D328" s="42"/>
      <c r="E328" s="20" t="s">
        <v>447</v>
      </c>
      <c r="F328" s="23"/>
      <c r="G328" s="23"/>
      <c r="H328" s="23">
        <f>3831.39941757085-2000</f>
        <v>1831.3994175708499</v>
      </c>
    </row>
    <row r="329" spans="1:8" ht="42.75" customHeight="1" x14ac:dyDescent="0.25">
      <c r="A329" s="10">
        <v>208</v>
      </c>
      <c r="B329" s="40" t="s">
        <v>448</v>
      </c>
      <c r="C329" s="41"/>
      <c r="D329" s="42"/>
      <c r="E329" s="20" t="s">
        <v>449</v>
      </c>
      <c r="F329" s="23"/>
      <c r="G329" s="23"/>
      <c r="H329" s="23">
        <f>1578.34614757085-500</f>
        <v>1078.34614757085</v>
      </c>
    </row>
    <row r="330" spans="1:8" ht="18" customHeight="1" x14ac:dyDescent="0.25">
      <c r="A330" s="36" t="s">
        <v>31</v>
      </c>
      <c r="B330" s="37"/>
      <c r="C330" s="37"/>
      <c r="D330" s="37"/>
      <c r="E330" s="38"/>
      <c r="F330" s="22"/>
      <c r="G330" s="22"/>
      <c r="H330" s="22">
        <v>5844.9615651417007</v>
      </c>
    </row>
    <row r="331" spans="1:8" ht="15.75" x14ac:dyDescent="0.25">
      <c r="A331" s="39" t="s">
        <v>450</v>
      </c>
      <c r="B331" s="39"/>
      <c r="C331" s="39"/>
      <c r="D331" s="39"/>
      <c r="E331" s="39"/>
      <c r="F331" s="22">
        <v>20966.5</v>
      </c>
      <c r="G331" s="22">
        <v>1475.28792</v>
      </c>
      <c r="H331" s="22">
        <v>6980.6883061417011</v>
      </c>
    </row>
    <row r="332" spans="1:8" s="14" customFormat="1" ht="21" customHeight="1" x14ac:dyDescent="0.25">
      <c r="A332" s="34" t="s">
        <v>451</v>
      </c>
      <c r="B332" s="35"/>
      <c r="C332" s="35"/>
      <c r="D332" s="35"/>
      <c r="E332" s="35"/>
      <c r="F332" s="35"/>
      <c r="G332" s="35"/>
      <c r="H332" s="35"/>
    </row>
    <row r="333" spans="1:8" ht="20.25" customHeight="1" x14ac:dyDescent="0.25">
      <c r="A333" s="34" t="s">
        <v>7</v>
      </c>
      <c r="B333" s="35"/>
      <c r="C333" s="35"/>
      <c r="D333" s="35"/>
      <c r="E333" s="35"/>
      <c r="F333" s="35"/>
      <c r="G333" s="35"/>
      <c r="H333" s="35"/>
    </row>
    <row r="334" spans="1:8" ht="52.5" customHeight="1" x14ac:dyDescent="0.25">
      <c r="A334" s="10">
        <v>209</v>
      </c>
      <c r="B334" s="40" t="s">
        <v>452</v>
      </c>
      <c r="C334" s="41"/>
      <c r="D334" s="42"/>
      <c r="E334" s="20" t="s">
        <v>453</v>
      </c>
      <c r="F334" s="23"/>
      <c r="G334" s="23"/>
      <c r="H334" s="23">
        <f>13500-9000-2000</f>
        <v>2500</v>
      </c>
    </row>
    <row r="335" spans="1:8" ht="18" customHeight="1" x14ac:dyDescent="0.25">
      <c r="A335" s="36" t="s">
        <v>30</v>
      </c>
      <c r="B335" s="37"/>
      <c r="C335" s="37"/>
      <c r="D335" s="37"/>
      <c r="E335" s="38"/>
      <c r="F335" s="22"/>
      <c r="G335" s="22"/>
      <c r="H335" s="22">
        <v>2500</v>
      </c>
    </row>
    <row r="336" spans="1:8" ht="20.25" customHeight="1" x14ac:dyDescent="0.25">
      <c r="A336" s="34" t="s">
        <v>29</v>
      </c>
      <c r="B336" s="35"/>
      <c r="C336" s="35"/>
      <c r="D336" s="35"/>
      <c r="E336" s="35"/>
      <c r="F336" s="35"/>
      <c r="G336" s="35"/>
      <c r="H336" s="35"/>
    </row>
    <row r="337" spans="1:8" ht="52.5" customHeight="1" x14ac:dyDescent="0.25">
      <c r="A337" s="10">
        <v>210</v>
      </c>
      <c r="B337" s="40" t="s">
        <v>454</v>
      </c>
      <c r="C337" s="41"/>
      <c r="D337" s="42"/>
      <c r="E337" s="20" t="s">
        <v>455</v>
      </c>
      <c r="F337" s="23"/>
      <c r="G337" s="23"/>
      <c r="H337" s="23">
        <f>7556.42341757085-5000</f>
        <v>2556.4234175708498</v>
      </c>
    </row>
    <row r="338" spans="1:8" ht="46.5" customHeight="1" x14ac:dyDescent="0.25">
      <c r="A338" s="10">
        <v>211</v>
      </c>
      <c r="B338" s="40" t="s">
        <v>456</v>
      </c>
      <c r="C338" s="41"/>
      <c r="D338" s="42"/>
      <c r="E338" s="20" t="s">
        <v>457</v>
      </c>
      <c r="F338" s="23"/>
      <c r="G338" s="23"/>
      <c r="H338" s="23">
        <v>782.64</v>
      </c>
    </row>
    <row r="339" spans="1:8" ht="41.25" customHeight="1" x14ac:dyDescent="0.25">
      <c r="A339" s="10">
        <v>212</v>
      </c>
      <c r="B339" s="40" t="s">
        <v>458</v>
      </c>
      <c r="C339" s="41"/>
      <c r="D339" s="42"/>
      <c r="E339" s="20" t="s">
        <v>459</v>
      </c>
      <c r="F339" s="23"/>
      <c r="G339" s="23"/>
      <c r="H339" s="23">
        <f>1786.71470757085-600</f>
        <v>1186.7147075708499</v>
      </c>
    </row>
    <row r="340" spans="1:8" ht="31.5" customHeight="1" x14ac:dyDescent="0.25">
      <c r="A340" s="10">
        <v>213</v>
      </c>
      <c r="B340" s="40" t="s">
        <v>460</v>
      </c>
      <c r="C340" s="41"/>
      <c r="D340" s="42"/>
      <c r="E340" s="20" t="s">
        <v>461</v>
      </c>
      <c r="F340" s="23"/>
      <c r="G340" s="23"/>
      <c r="H340" s="23">
        <v>968.64641757085008</v>
      </c>
    </row>
    <row r="341" spans="1:8" ht="45" customHeight="1" x14ac:dyDescent="0.25">
      <c r="A341" s="10">
        <v>214</v>
      </c>
      <c r="B341" s="40" t="s">
        <v>462</v>
      </c>
      <c r="C341" s="41"/>
      <c r="D341" s="42"/>
      <c r="E341" s="20" t="s">
        <v>463</v>
      </c>
      <c r="F341" s="23"/>
      <c r="G341" s="23"/>
      <c r="H341" s="23">
        <f>4099.12641757085-2000</f>
        <v>2099.1264175708502</v>
      </c>
    </row>
    <row r="342" spans="1:8" ht="29.25" customHeight="1" x14ac:dyDescent="0.25">
      <c r="A342" s="10">
        <v>215</v>
      </c>
      <c r="B342" s="40" t="s">
        <v>464</v>
      </c>
      <c r="C342" s="41"/>
      <c r="D342" s="42"/>
      <c r="E342" s="20" t="s">
        <v>465</v>
      </c>
      <c r="F342" s="23"/>
      <c r="G342" s="23"/>
      <c r="H342" s="23">
        <f>1371.79408757085-500</f>
        <v>871.79408757085002</v>
      </c>
    </row>
    <row r="343" spans="1:8" ht="42.75" customHeight="1" x14ac:dyDescent="0.25">
      <c r="A343" s="10">
        <v>216</v>
      </c>
      <c r="B343" s="40" t="s">
        <v>466</v>
      </c>
      <c r="C343" s="41"/>
      <c r="D343" s="42"/>
      <c r="E343" s="20" t="s">
        <v>467</v>
      </c>
      <c r="F343" s="23"/>
      <c r="G343" s="23"/>
      <c r="H343" s="23">
        <f>2906.71941757085-1500</f>
        <v>1406.7194175708501</v>
      </c>
    </row>
    <row r="344" spans="1:8" ht="46.5" customHeight="1" x14ac:dyDescent="0.25">
      <c r="A344" s="10">
        <v>217</v>
      </c>
      <c r="B344" s="40" t="s">
        <v>468</v>
      </c>
      <c r="C344" s="41"/>
      <c r="D344" s="42"/>
      <c r="E344" s="20" t="s">
        <v>469</v>
      </c>
      <c r="F344" s="23"/>
      <c r="G344" s="23"/>
      <c r="H344" s="23">
        <f>5169.27241757085-3000</f>
        <v>2169.2724175708499</v>
      </c>
    </row>
    <row r="345" spans="1:8" ht="18" customHeight="1" x14ac:dyDescent="0.25">
      <c r="A345" s="36" t="s">
        <v>31</v>
      </c>
      <c r="B345" s="37"/>
      <c r="C345" s="37"/>
      <c r="D345" s="37"/>
      <c r="E345" s="38"/>
      <c r="F345" s="22"/>
      <c r="G345" s="22"/>
      <c r="H345" s="22">
        <v>12041.336882995951</v>
      </c>
    </row>
    <row r="346" spans="1:8" ht="15.75" x14ac:dyDescent="0.25">
      <c r="A346" s="39" t="s">
        <v>470</v>
      </c>
      <c r="B346" s="39"/>
      <c r="C346" s="39"/>
      <c r="D346" s="39"/>
      <c r="E346" s="39"/>
      <c r="F346" s="22"/>
      <c r="G346" s="22"/>
      <c r="H346" s="22">
        <v>14541.336882995951</v>
      </c>
    </row>
    <row r="347" spans="1:8" s="14" customFormat="1" ht="21" customHeight="1" x14ac:dyDescent="0.25">
      <c r="A347" s="34" t="s">
        <v>471</v>
      </c>
      <c r="B347" s="35"/>
      <c r="C347" s="35"/>
      <c r="D347" s="35"/>
      <c r="E347" s="35"/>
      <c r="F347" s="35"/>
      <c r="G347" s="35"/>
      <c r="H347" s="35"/>
    </row>
    <row r="348" spans="1:8" ht="20.25" customHeight="1" x14ac:dyDescent="0.25">
      <c r="A348" s="34" t="s">
        <v>29</v>
      </c>
      <c r="B348" s="35"/>
      <c r="C348" s="35"/>
      <c r="D348" s="35"/>
      <c r="E348" s="35"/>
      <c r="F348" s="35"/>
      <c r="G348" s="35"/>
      <c r="H348" s="35"/>
    </row>
    <row r="349" spans="1:8" ht="45.75" customHeight="1" x14ac:dyDescent="0.25">
      <c r="A349" s="10">
        <v>218</v>
      </c>
      <c r="B349" s="40" t="s">
        <v>472</v>
      </c>
      <c r="C349" s="41"/>
      <c r="D349" s="42"/>
      <c r="E349" s="20" t="s">
        <v>473</v>
      </c>
      <c r="F349" s="23"/>
      <c r="G349" s="23"/>
      <c r="H349" s="23">
        <f>6014.444-4000</f>
        <v>2014.4440000000004</v>
      </c>
    </row>
    <row r="350" spans="1:8" ht="52.5" customHeight="1" x14ac:dyDescent="0.25">
      <c r="A350" s="10">
        <v>219</v>
      </c>
      <c r="B350" s="40" t="s">
        <v>474</v>
      </c>
      <c r="C350" s="41"/>
      <c r="D350" s="42"/>
      <c r="E350" s="20" t="s">
        <v>475</v>
      </c>
      <c r="F350" s="23"/>
      <c r="G350" s="23"/>
      <c r="H350" s="23">
        <f>1388.59301757085-500</f>
        <v>888.59301757084995</v>
      </c>
    </row>
    <row r="351" spans="1:8" ht="42" customHeight="1" x14ac:dyDescent="0.25">
      <c r="A351" s="10">
        <v>220</v>
      </c>
      <c r="B351" s="40" t="s">
        <v>476</v>
      </c>
      <c r="C351" s="41"/>
      <c r="D351" s="42"/>
      <c r="E351" s="20" t="s">
        <v>477</v>
      </c>
      <c r="F351" s="23"/>
      <c r="G351" s="23"/>
      <c r="H351" s="23">
        <f>3295.55941757085-2000</f>
        <v>1295.5594175708502</v>
      </c>
    </row>
    <row r="352" spans="1:8" ht="52.5" customHeight="1" x14ac:dyDescent="0.25">
      <c r="A352" s="10">
        <v>221</v>
      </c>
      <c r="B352" s="40" t="s">
        <v>478</v>
      </c>
      <c r="C352" s="41"/>
      <c r="D352" s="42"/>
      <c r="E352" s="20" t="s">
        <v>479</v>
      </c>
      <c r="F352" s="23"/>
      <c r="G352" s="23"/>
      <c r="H352" s="23">
        <f>5483.59141757085-3000</f>
        <v>2483.5914175708504</v>
      </c>
    </row>
    <row r="353" spans="1:8" ht="33" customHeight="1" x14ac:dyDescent="0.25">
      <c r="A353" s="10">
        <v>222</v>
      </c>
      <c r="B353" s="40" t="s">
        <v>480</v>
      </c>
      <c r="C353" s="41"/>
      <c r="D353" s="42"/>
      <c r="E353" s="20" t="s">
        <v>481</v>
      </c>
      <c r="F353" s="23"/>
      <c r="G353" s="23"/>
      <c r="H353" s="23">
        <f>5565.38541757085-3000</f>
        <v>2565.3854175708502</v>
      </c>
    </row>
    <row r="354" spans="1:8" ht="41.25" customHeight="1" x14ac:dyDescent="0.25">
      <c r="A354" s="10">
        <v>223</v>
      </c>
      <c r="B354" s="40" t="s">
        <v>482</v>
      </c>
      <c r="C354" s="41"/>
      <c r="D354" s="42"/>
      <c r="E354" s="20" t="s">
        <v>483</v>
      </c>
      <c r="F354" s="23"/>
      <c r="G354" s="23"/>
      <c r="H354" s="23">
        <f>3794.82671757085-1800</f>
        <v>1994.8267175708502</v>
      </c>
    </row>
    <row r="355" spans="1:8" ht="18" customHeight="1" x14ac:dyDescent="0.25">
      <c r="A355" s="36" t="s">
        <v>31</v>
      </c>
      <c r="B355" s="37"/>
      <c r="C355" s="37"/>
      <c r="D355" s="37"/>
      <c r="E355" s="38"/>
      <c r="F355" s="22"/>
      <c r="G355" s="22"/>
      <c r="H355" s="22">
        <v>11242.399987854251</v>
      </c>
    </row>
    <row r="356" spans="1:8" ht="15.75" x14ac:dyDescent="0.25">
      <c r="A356" s="39" t="s">
        <v>484</v>
      </c>
      <c r="B356" s="39"/>
      <c r="C356" s="39"/>
      <c r="D356" s="39"/>
      <c r="E356" s="39"/>
      <c r="F356" s="22"/>
      <c r="G356" s="22"/>
      <c r="H356" s="22">
        <v>11242.399987854251</v>
      </c>
    </row>
    <row r="357" spans="1:8" s="14" customFormat="1" ht="21" customHeight="1" x14ac:dyDescent="0.25">
      <c r="A357" s="34" t="s">
        <v>485</v>
      </c>
      <c r="B357" s="35"/>
      <c r="C357" s="35"/>
      <c r="D357" s="35"/>
      <c r="E357" s="35"/>
      <c r="F357" s="35"/>
      <c r="G357" s="35"/>
      <c r="H357" s="35"/>
    </row>
    <row r="358" spans="1:8" s="14" customFormat="1" ht="21" customHeight="1" x14ac:dyDescent="0.25">
      <c r="A358" s="34" t="s">
        <v>7</v>
      </c>
      <c r="B358" s="35"/>
      <c r="C358" s="35"/>
      <c r="D358" s="35"/>
      <c r="E358" s="35"/>
      <c r="F358" s="35"/>
      <c r="G358" s="35"/>
      <c r="H358" s="35"/>
    </row>
    <row r="359" spans="1:8" s="14" customFormat="1" ht="51" customHeight="1" x14ac:dyDescent="0.25">
      <c r="A359" s="29">
        <v>224</v>
      </c>
      <c r="B359" s="40" t="s">
        <v>724</v>
      </c>
      <c r="C359" s="41"/>
      <c r="D359" s="42"/>
      <c r="E359" s="29" t="s">
        <v>725</v>
      </c>
      <c r="F359" s="30">
        <v>2330.6</v>
      </c>
      <c r="G359" s="26"/>
      <c r="H359" s="26"/>
    </row>
    <row r="360" spans="1:8" s="14" customFormat="1" ht="23.25" customHeight="1" x14ac:dyDescent="0.25">
      <c r="A360" s="36" t="s">
        <v>31</v>
      </c>
      <c r="B360" s="37"/>
      <c r="C360" s="37"/>
      <c r="D360" s="37"/>
      <c r="E360" s="38"/>
      <c r="F360" s="30">
        <v>2330.6</v>
      </c>
      <c r="G360" s="26"/>
      <c r="H360" s="26"/>
    </row>
    <row r="361" spans="1:8" ht="20.25" customHeight="1" x14ac:dyDescent="0.25">
      <c r="A361" s="34" t="s">
        <v>29</v>
      </c>
      <c r="B361" s="35"/>
      <c r="C361" s="35"/>
      <c r="D361" s="35"/>
      <c r="E361" s="35"/>
      <c r="F361" s="35"/>
      <c r="G361" s="35"/>
      <c r="H361" s="35"/>
    </row>
    <row r="362" spans="1:8" ht="38.25" customHeight="1" x14ac:dyDescent="0.25">
      <c r="A362" s="10">
        <v>225</v>
      </c>
      <c r="B362" s="40" t="s">
        <v>486</v>
      </c>
      <c r="C362" s="41"/>
      <c r="D362" s="42"/>
      <c r="E362" s="20" t="s">
        <v>487</v>
      </c>
      <c r="F362" s="23"/>
      <c r="G362" s="23"/>
      <c r="H362" s="23">
        <f>4511.84833757085-3000</f>
        <v>1511.8483375708502</v>
      </c>
    </row>
    <row r="363" spans="1:8" ht="44.25" customHeight="1" x14ac:dyDescent="0.25">
      <c r="A363" s="10">
        <v>226</v>
      </c>
      <c r="B363" s="40" t="s">
        <v>488</v>
      </c>
      <c r="C363" s="41"/>
      <c r="D363" s="42"/>
      <c r="E363" s="20" t="s">
        <v>489</v>
      </c>
      <c r="F363" s="23"/>
      <c r="G363" s="23"/>
      <c r="H363" s="23">
        <f>6988.52341757085-5000</f>
        <v>1988.5234175708501</v>
      </c>
    </row>
    <row r="364" spans="1:8" ht="52.5" customHeight="1" x14ac:dyDescent="0.25">
      <c r="A364" s="10">
        <v>227</v>
      </c>
      <c r="B364" s="40" t="s">
        <v>490</v>
      </c>
      <c r="C364" s="41"/>
      <c r="D364" s="42"/>
      <c r="E364" s="20" t="s">
        <v>491</v>
      </c>
      <c r="F364" s="23"/>
      <c r="G364" s="23"/>
      <c r="H364" s="23">
        <f>4699.04141757085-3000</f>
        <v>1699.0414175708502</v>
      </c>
    </row>
    <row r="365" spans="1:8" ht="52.5" customHeight="1" x14ac:dyDescent="0.25">
      <c r="A365" s="10">
        <v>228</v>
      </c>
      <c r="B365" s="40" t="s">
        <v>492</v>
      </c>
      <c r="C365" s="41"/>
      <c r="D365" s="42"/>
      <c r="E365" s="20" t="s">
        <v>493</v>
      </c>
      <c r="F365" s="23"/>
      <c r="G365" s="23"/>
      <c r="H365" s="23">
        <v>506.61539757085012</v>
      </c>
    </row>
    <row r="366" spans="1:8" ht="18" customHeight="1" x14ac:dyDescent="0.25">
      <c r="A366" s="36" t="s">
        <v>31</v>
      </c>
      <c r="B366" s="37"/>
      <c r="C366" s="37"/>
      <c r="D366" s="37"/>
      <c r="E366" s="38"/>
      <c r="F366" s="22"/>
      <c r="G366" s="22"/>
      <c r="H366" s="22">
        <v>5706.0285702834008</v>
      </c>
    </row>
    <row r="367" spans="1:8" ht="15.75" x14ac:dyDescent="0.25">
      <c r="A367" s="39" t="s">
        <v>494</v>
      </c>
      <c r="B367" s="39"/>
      <c r="C367" s="39"/>
      <c r="D367" s="39"/>
      <c r="E367" s="39"/>
      <c r="F367" s="22">
        <v>2330.6</v>
      </c>
      <c r="G367" s="22"/>
      <c r="H367" s="22">
        <v>5706.0285702834008</v>
      </c>
    </row>
    <row r="368" spans="1:8" s="14" customFormat="1" ht="21" customHeight="1" x14ac:dyDescent="0.25">
      <c r="A368" s="34" t="s">
        <v>495</v>
      </c>
      <c r="B368" s="35"/>
      <c r="C368" s="35"/>
      <c r="D368" s="35"/>
      <c r="E368" s="35"/>
      <c r="F368" s="35"/>
      <c r="G368" s="35"/>
      <c r="H368" s="35"/>
    </row>
    <row r="369" spans="1:8" ht="20.25" customHeight="1" x14ac:dyDescent="0.25">
      <c r="A369" s="34" t="s">
        <v>29</v>
      </c>
      <c r="B369" s="35"/>
      <c r="C369" s="35"/>
      <c r="D369" s="35"/>
      <c r="E369" s="35"/>
      <c r="F369" s="35"/>
      <c r="G369" s="35"/>
      <c r="H369" s="35"/>
    </row>
    <row r="370" spans="1:8" ht="72.75" customHeight="1" x14ac:dyDescent="0.25">
      <c r="A370" s="10">
        <v>229</v>
      </c>
      <c r="B370" s="40" t="s">
        <v>496</v>
      </c>
      <c r="C370" s="41"/>
      <c r="D370" s="42"/>
      <c r="E370" s="20" t="s">
        <v>497</v>
      </c>
      <c r="F370" s="23"/>
      <c r="G370" s="23"/>
      <c r="H370" s="23">
        <f>8795.55941757085-5500-2000</f>
        <v>1295.5594175708502</v>
      </c>
    </row>
    <row r="371" spans="1:8" ht="42" customHeight="1" x14ac:dyDescent="0.25">
      <c r="A371" s="10">
        <v>230</v>
      </c>
      <c r="B371" s="40" t="s">
        <v>498</v>
      </c>
      <c r="C371" s="41"/>
      <c r="D371" s="42"/>
      <c r="E371" s="20" t="s">
        <v>499</v>
      </c>
      <c r="F371" s="23"/>
      <c r="G371" s="23"/>
      <c r="H371" s="23">
        <f>5402.50576-3000</f>
        <v>2402.50576</v>
      </c>
    </row>
    <row r="372" spans="1:8" ht="42" customHeight="1" x14ac:dyDescent="0.25">
      <c r="A372" s="10">
        <v>231</v>
      </c>
      <c r="B372" s="40" t="s">
        <v>500</v>
      </c>
      <c r="C372" s="41"/>
      <c r="D372" s="42"/>
      <c r="E372" s="20" t="s">
        <v>501</v>
      </c>
      <c r="F372" s="23"/>
      <c r="G372" s="23"/>
      <c r="H372" s="23">
        <f>7499-5000</f>
        <v>2499</v>
      </c>
    </row>
    <row r="373" spans="1:8" ht="52.5" customHeight="1" x14ac:dyDescent="0.25">
      <c r="A373" s="10">
        <v>232</v>
      </c>
      <c r="B373" s="40" t="s">
        <v>502</v>
      </c>
      <c r="C373" s="41"/>
      <c r="D373" s="42"/>
      <c r="E373" s="20" t="s">
        <v>503</v>
      </c>
      <c r="F373" s="23"/>
      <c r="G373" s="23"/>
      <c r="H373" s="23">
        <f>7651.66741757085-5500</f>
        <v>2151.6674175708504</v>
      </c>
    </row>
    <row r="374" spans="1:8" ht="52.5" customHeight="1" x14ac:dyDescent="0.25">
      <c r="A374" s="10">
        <v>233</v>
      </c>
      <c r="B374" s="40" t="s">
        <v>504</v>
      </c>
      <c r="C374" s="41"/>
      <c r="D374" s="42"/>
      <c r="E374" s="20" t="s">
        <v>505</v>
      </c>
      <c r="F374" s="23"/>
      <c r="G374" s="23"/>
      <c r="H374" s="23">
        <f>5471.77680757085-3500</f>
        <v>1971.77680757085</v>
      </c>
    </row>
    <row r="375" spans="1:8" ht="52.5" customHeight="1" x14ac:dyDescent="0.25">
      <c r="A375" s="10">
        <v>234</v>
      </c>
      <c r="B375" s="40" t="s">
        <v>506</v>
      </c>
      <c r="C375" s="41"/>
      <c r="D375" s="42"/>
      <c r="E375" s="20" t="s">
        <v>507</v>
      </c>
      <c r="F375" s="23"/>
      <c r="G375" s="23"/>
      <c r="H375" s="23">
        <f>1795.55941757085-800</f>
        <v>995.55941757084997</v>
      </c>
    </row>
    <row r="376" spans="1:8" ht="45" customHeight="1" x14ac:dyDescent="0.25">
      <c r="A376" s="10">
        <v>235</v>
      </c>
      <c r="B376" s="40" t="s">
        <v>508</v>
      </c>
      <c r="C376" s="41"/>
      <c r="D376" s="42"/>
      <c r="E376" s="20" t="s">
        <v>509</v>
      </c>
      <c r="F376" s="23"/>
      <c r="G376" s="23"/>
      <c r="H376" s="23">
        <v>1548.2097775708501</v>
      </c>
    </row>
    <row r="377" spans="1:8" ht="18" customHeight="1" x14ac:dyDescent="0.25">
      <c r="A377" s="36" t="s">
        <v>31</v>
      </c>
      <c r="B377" s="37"/>
      <c r="C377" s="37"/>
      <c r="D377" s="37"/>
      <c r="E377" s="38"/>
      <c r="F377" s="22"/>
      <c r="G377" s="22"/>
      <c r="H377" s="22">
        <v>12864.278597854251</v>
      </c>
    </row>
    <row r="378" spans="1:8" ht="15.75" x14ac:dyDescent="0.25">
      <c r="A378" s="39" t="s">
        <v>510</v>
      </c>
      <c r="B378" s="39"/>
      <c r="C378" s="39"/>
      <c r="D378" s="39"/>
      <c r="E378" s="39"/>
      <c r="F378" s="22"/>
      <c r="G378" s="22"/>
      <c r="H378" s="22">
        <v>12864.278597854251</v>
      </c>
    </row>
    <row r="379" spans="1:8" s="14" customFormat="1" ht="21" customHeight="1" x14ac:dyDescent="0.25">
      <c r="A379" s="34" t="s">
        <v>511</v>
      </c>
      <c r="B379" s="35"/>
      <c r="C379" s="35"/>
      <c r="D379" s="35"/>
      <c r="E379" s="35"/>
      <c r="F379" s="35"/>
      <c r="G379" s="35"/>
      <c r="H379" s="35"/>
    </row>
    <row r="380" spans="1:8" ht="20.25" customHeight="1" x14ac:dyDescent="0.25">
      <c r="A380" s="34" t="s">
        <v>7</v>
      </c>
      <c r="B380" s="35"/>
      <c r="C380" s="35"/>
      <c r="D380" s="35"/>
      <c r="E380" s="35"/>
      <c r="F380" s="35"/>
      <c r="G380" s="35"/>
      <c r="H380" s="35"/>
    </row>
    <row r="381" spans="1:8" ht="40.5" customHeight="1" x14ac:dyDescent="0.25">
      <c r="A381" s="10">
        <v>236</v>
      </c>
      <c r="B381" s="40" t="s">
        <v>512</v>
      </c>
      <c r="C381" s="41"/>
      <c r="D381" s="42"/>
      <c r="E381" s="20" t="s">
        <v>513</v>
      </c>
      <c r="F381" s="23"/>
      <c r="G381" s="23">
        <v>219.16514000000001</v>
      </c>
      <c r="H381" s="23">
        <f>9308.061351-7000-1000</f>
        <v>1308.0613510000003</v>
      </c>
    </row>
    <row r="382" spans="1:8" ht="52.5" customHeight="1" x14ac:dyDescent="0.25">
      <c r="A382" s="10">
        <v>237</v>
      </c>
      <c r="B382" s="40" t="s">
        <v>514</v>
      </c>
      <c r="C382" s="41"/>
      <c r="D382" s="42"/>
      <c r="E382" s="20" t="s">
        <v>515</v>
      </c>
      <c r="F382" s="23"/>
      <c r="G382" s="23">
        <v>5</v>
      </c>
      <c r="H382" s="23">
        <f>4109.6913-2500</f>
        <v>1609.6913000000004</v>
      </c>
    </row>
    <row r="383" spans="1:8" ht="66" customHeight="1" x14ac:dyDescent="0.25">
      <c r="A383" s="10">
        <v>238</v>
      </c>
      <c r="B383" s="40" t="s">
        <v>516</v>
      </c>
      <c r="C383" s="41"/>
      <c r="D383" s="42"/>
      <c r="E383" s="20" t="s">
        <v>513</v>
      </c>
      <c r="F383" s="23"/>
      <c r="G383" s="23">
        <v>5</v>
      </c>
      <c r="H383" s="23">
        <f>4582.16711-2800</f>
        <v>1782.1671100000003</v>
      </c>
    </row>
    <row r="384" spans="1:8" ht="18" customHeight="1" x14ac:dyDescent="0.25">
      <c r="A384" s="36" t="s">
        <v>30</v>
      </c>
      <c r="B384" s="37"/>
      <c r="C384" s="37"/>
      <c r="D384" s="37"/>
      <c r="E384" s="38"/>
      <c r="F384" s="22"/>
      <c r="G384" s="22">
        <v>229.16514000000001</v>
      </c>
      <c r="H384" s="22">
        <v>4699.919761000001</v>
      </c>
    </row>
    <row r="385" spans="1:8" ht="20.25" customHeight="1" x14ac:dyDescent="0.25">
      <c r="A385" s="34" t="s">
        <v>29</v>
      </c>
      <c r="B385" s="35"/>
      <c r="C385" s="35"/>
      <c r="D385" s="35"/>
      <c r="E385" s="35"/>
      <c r="F385" s="35"/>
      <c r="G385" s="35"/>
      <c r="H385" s="35"/>
    </row>
    <row r="386" spans="1:8" ht="52.5" customHeight="1" x14ac:dyDescent="0.25">
      <c r="A386" s="10">
        <v>239</v>
      </c>
      <c r="B386" s="40" t="s">
        <v>517</v>
      </c>
      <c r="C386" s="41"/>
      <c r="D386" s="42"/>
      <c r="E386" s="20" t="s">
        <v>518</v>
      </c>
      <c r="F386" s="23"/>
      <c r="G386" s="23"/>
      <c r="H386" s="23">
        <v>655.322</v>
      </c>
    </row>
    <row r="387" spans="1:8" ht="52.5" customHeight="1" x14ac:dyDescent="0.25">
      <c r="A387" s="10">
        <v>240</v>
      </c>
      <c r="B387" s="40" t="s">
        <v>519</v>
      </c>
      <c r="C387" s="41"/>
      <c r="D387" s="42"/>
      <c r="E387" s="20" t="s">
        <v>520</v>
      </c>
      <c r="F387" s="23"/>
      <c r="G387" s="23"/>
      <c r="H387" s="23">
        <f>8795.55941757085-6500-500</f>
        <v>1795.5594175708502</v>
      </c>
    </row>
    <row r="388" spans="1:8" ht="52.5" customHeight="1" x14ac:dyDescent="0.25">
      <c r="A388" s="10">
        <v>241</v>
      </c>
      <c r="B388" s="40" t="s">
        <v>521</v>
      </c>
      <c r="C388" s="41"/>
      <c r="D388" s="42"/>
      <c r="E388" s="20" t="s">
        <v>522</v>
      </c>
      <c r="F388" s="23"/>
      <c r="G388" s="23"/>
      <c r="H388" s="23">
        <f>6130.95541757085-4300</f>
        <v>1830.9554175708499</v>
      </c>
    </row>
    <row r="389" spans="1:8" ht="52.5" customHeight="1" x14ac:dyDescent="0.25">
      <c r="A389" s="10">
        <v>242</v>
      </c>
      <c r="B389" s="40" t="s">
        <v>523</v>
      </c>
      <c r="C389" s="41"/>
      <c r="D389" s="42"/>
      <c r="E389" s="20" t="s">
        <v>524</v>
      </c>
      <c r="F389" s="23"/>
      <c r="G389" s="23"/>
      <c r="H389" s="23">
        <f>8682.02341757085-5500</f>
        <v>3182.0234175708501</v>
      </c>
    </row>
    <row r="390" spans="1:8" ht="52.5" customHeight="1" x14ac:dyDescent="0.25">
      <c r="A390" s="10">
        <v>243</v>
      </c>
      <c r="B390" s="40" t="s">
        <v>525</v>
      </c>
      <c r="C390" s="41"/>
      <c r="D390" s="42"/>
      <c r="E390" s="20" t="s">
        <v>526</v>
      </c>
      <c r="F390" s="23"/>
      <c r="G390" s="23"/>
      <c r="H390" s="23">
        <f>8795.55941757085-5500-2000</f>
        <v>1295.5594175708502</v>
      </c>
    </row>
    <row r="391" spans="1:8" ht="52.5" customHeight="1" x14ac:dyDescent="0.25">
      <c r="A391" s="10">
        <v>244</v>
      </c>
      <c r="B391" s="40" t="s">
        <v>527</v>
      </c>
      <c r="C391" s="41"/>
      <c r="D391" s="42"/>
      <c r="E391" s="20" t="s">
        <v>528</v>
      </c>
      <c r="F391" s="23"/>
      <c r="G391" s="23"/>
      <c r="H391" s="23">
        <f>8426.89201757085-5500-1000</f>
        <v>1926.8920175708499</v>
      </c>
    </row>
    <row r="392" spans="1:8" ht="52.5" customHeight="1" x14ac:dyDescent="0.25">
      <c r="A392" s="10">
        <v>245</v>
      </c>
      <c r="B392" s="40" t="s">
        <v>529</v>
      </c>
      <c r="C392" s="41"/>
      <c r="D392" s="42"/>
      <c r="E392" s="20" t="s">
        <v>530</v>
      </c>
      <c r="F392" s="23"/>
      <c r="G392" s="23"/>
      <c r="H392" s="23">
        <f>3511.36641757085-2000</f>
        <v>1511.36641757085</v>
      </c>
    </row>
    <row r="393" spans="1:8" ht="52.5" customHeight="1" x14ac:dyDescent="0.25">
      <c r="A393" s="10">
        <v>246</v>
      </c>
      <c r="B393" s="40" t="s">
        <v>531</v>
      </c>
      <c r="C393" s="41"/>
      <c r="D393" s="42"/>
      <c r="E393" s="20" t="s">
        <v>532</v>
      </c>
      <c r="F393" s="23"/>
      <c r="G393" s="23"/>
      <c r="H393" s="23">
        <f>1688.57741757085-900</f>
        <v>788.57741757085</v>
      </c>
    </row>
    <row r="394" spans="1:8" ht="18" customHeight="1" x14ac:dyDescent="0.25">
      <c r="A394" s="36" t="s">
        <v>31</v>
      </c>
      <c r="B394" s="37"/>
      <c r="C394" s="37"/>
      <c r="D394" s="37"/>
      <c r="E394" s="38"/>
      <c r="F394" s="22"/>
      <c r="G394" s="22"/>
      <c r="H394" s="22">
        <v>12986.255522995951</v>
      </c>
    </row>
    <row r="395" spans="1:8" ht="15.75" x14ac:dyDescent="0.25">
      <c r="A395" s="39" t="s">
        <v>533</v>
      </c>
      <c r="B395" s="39"/>
      <c r="C395" s="39"/>
      <c r="D395" s="39"/>
      <c r="E395" s="39"/>
      <c r="F395" s="22"/>
      <c r="G395" s="22">
        <v>229.16514000000001</v>
      </c>
      <c r="H395" s="22">
        <v>17686.175283995952</v>
      </c>
    </row>
    <row r="396" spans="1:8" s="14" customFormat="1" ht="21" customHeight="1" x14ac:dyDescent="0.25">
      <c r="A396" s="34" t="s">
        <v>534</v>
      </c>
      <c r="B396" s="35"/>
      <c r="C396" s="35"/>
      <c r="D396" s="35"/>
      <c r="E396" s="35"/>
      <c r="F396" s="35"/>
      <c r="G396" s="35"/>
      <c r="H396" s="35"/>
    </row>
    <row r="397" spans="1:8" ht="20.25" customHeight="1" x14ac:dyDescent="0.25">
      <c r="A397" s="34" t="s">
        <v>7</v>
      </c>
      <c r="B397" s="35"/>
      <c r="C397" s="35"/>
      <c r="D397" s="35"/>
      <c r="E397" s="35"/>
      <c r="F397" s="35"/>
      <c r="G397" s="35"/>
      <c r="H397" s="35"/>
    </row>
    <row r="398" spans="1:8" ht="169.5" customHeight="1" x14ac:dyDescent="0.25">
      <c r="A398" s="10">
        <v>247</v>
      </c>
      <c r="B398" s="40" t="s">
        <v>535</v>
      </c>
      <c r="C398" s="41"/>
      <c r="D398" s="42"/>
      <c r="E398" s="20" t="s">
        <v>536</v>
      </c>
      <c r="F398" s="23"/>
      <c r="G398" s="23"/>
      <c r="H398" s="23">
        <f>1627.2-900</f>
        <v>727.2</v>
      </c>
    </row>
    <row r="399" spans="1:8" ht="44.25" customHeight="1" x14ac:dyDescent="0.25">
      <c r="A399" s="10">
        <v>248</v>
      </c>
      <c r="B399" s="47" t="s">
        <v>731</v>
      </c>
      <c r="C399" s="47"/>
      <c r="D399" s="47"/>
      <c r="E399" s="20" t="s">
        <v>732</v>
      </c>
      <c r="F399" s="23">
        <v>6500</v>
      </c>
      <c r="G399" s="23"/>
      <c r="H399" s="23"/>
    </row>
    <row r="400" spans="1:8" ht="18" customHeight="1" x14ac:dyDescent="0.25">
      <c r="A400" s="36" t="s">
        <v>30</v>
      </c>
      <c r="B400" s="37"/>
      <c r="C400" s="37"/>
      <c r="D400" s="37"/>
      <c r="E400" s="38"/>
      <c r="F400" s="22">
        <v>6500</v>
      </c>
      <c r="G400" s="22"/>
      <c r="H400" s="22">
        <v>727.2</v>
      </c>
    </row>
    <row r="401" spans="1:8" ht="20.25" customHeight="1" x14ac:dyDescent="0.25">
      <c r="A401" s="34" t="s">
        <v>29</v>
      </c>
      <c r="B401" s="35"/>
      <c r="C401" s="35"/>
      <c r="D401" s="35"/>
      <c r="E401" s="35"/>
      <c r="F401" s="35"/>
      <c r="G401" s="35"/>
      <c r="H401" s="35"/>
    </row>
    <row r="402" spans="1:8" ht="52.5" customHeight="1" x14ac:dyDescent="0.25">
      <c r="A402" s="10">
        <v>249</v>
      </c>
      <c r="B402" s="40" t="s">
        <v>537</v>
      </c>
      <c r="C402" s="41"/>
      <c r="D402" s="42"/>
      <c r="E402" s="20" t="s">
        <v>538</v>
      </c>
      <c r="F402" s="23"/>
      <c r="G402" s="23"/>
      <c r="H402" s="23">
        <f>2455.44172-1800</f>
        <v>655.4417199999998</v>
      </c>
    </row>
    <row r="403" spans="1:8" ht="52.5" customHeight="1" x14ac:dyDescent="0.25">
      <c r="A403" s="10">
        <v>250</v>
      </c>
      <c r="B403" s="40" t="s">
        <v>539</v>
      </c>
      <c r="C403" s="41"/>
      <c r="D403" s="42"/>
      <c r="E403" s="20" t="s">
        <v>540</v>
      </c>
      <c r="F403" s="23"/>
      <c r="G403" s="23"/>
      <c r="H403" s="23">
        <f>8795.55941757085-5500-2000</f>
        <v>1295.5594175708502</v>
      </c>
    </row>
    <row r="404" spans="1:8" ht="52.5" customHeight="1" x14ac:dyDescent="0.25">
      <c r="A404" s="10">
        <v>251</v>
      </c>
      <c r="B404" s="40" t="s">
        <v>541</v>
      </c>
      <c r="C404" s="41"/>
      <c r="D404" s="42"/>
      <c r="E404" s="20" t="s">
        <v>542</v>
      </c>
      <c r="F404" s="23"/>
      <c r="G404" s="23"/>
      <c r="H404" s="23">
        <f>8795.55941757085-5500</f>
        <v>3295.5594175708502</v>
      </c>
    </row>
    <row r="405" spans="1:8" ht="52.5" customHeight="1" x14ac:dyDescent="0.25">
      <c r="A405" s="10">
        <v>252</v>
      </c>
      <c r="B405" s="40" t="s">
        <v>543</v>
      </c>
      <c r="C405" s="41"/>
      <c r="D405" s="42"/>
      <c r="E405" s="20" t="s">
        <v>544</v>
      </c>
      <c r="F405" s="23"/>
      <c r="G405" s="23"/>
      <c r="H405" s="23">
        <f>7887.86303757085-4500-2000</f>
        <v>1387.8630375708499</v>
      </c>
    </row>
    <row r="406" spans="1:8" ht="52.5" customHeight="1" x14ac:dyDescent="0.25">
      <c r="A406" s="10">
        <v>253</v>
      </c>
      <c r="B406" s="40" t="s">
        <v>545</v>
      </c>
      <c r="C406" s="41"/>
      <c r="D406" s="42"/>
      <c r="E406" s="20" t="s">
        <v>546</v>
      </c>
      <c r="F406" s="23"/>
      <c r="G406" s="23"/>
      <c r="H406" s="23">
        <f>7057.988-4500-500</f>
        <v>2057.9880000000003</v>
      </c>
    </row>
    <row r="407" spans="1:8" ht="52.5" customHeight="1" x14ac:dyDescent="0.25">
      <c r="A407" s="10">
        <v>254</v>
      </c>
      <c r="B407" s="40" t="s">
        <v>547</v>
      </c>
      <c r="C407" s="41"/>
      <c r="D407" s="42"/>
      <c r="E407" s="20" t="s">
        <v>548</v>
      </c>
      <c r="F407" s="23"/>
      <c r="G407" s="23"/>
      <c r="H407" s="23">
        <f>1786.20581757085-900</f>
        <v>886.20581757085006</v>
      </c>
    </row>
    <row r="408" spans="1:8" ht="52.5" customHeight="1" x14ac:dyDescent="0.25">
      <c r="A408" s="10">
        <v>255</v>
      </c>
      <c r="B408" s="40" t="s">
        <v>549</v>
      </c>
      <c r="C408" s="41"/>
      <c r="D408" s="42"/>
      <c r="E408" s="20" t="s">
        <v>550</v>
      </c>
      <c r="F408" s="23"/>
      <c r="G408" s="23"/>
      <c r="H408" s="23">
        <f>5997.37553757085-3500-500</f>
        <v>1997.3755375708497</v>
      </c>
    </row>
    <row r="409" spans="1:8" ht="52.5" customHeight="1" x14ac:dyDescent="0.25">
      <c r="A409" s="10">
        <v>256</v>
      </c>
      <c r="B409" s="40" t="s">
        <v>551</v>
      </c>
      <c r="C409" s="41"/>
      <c r="D409" s="42"/>
      <c r="E409" s="20" t="s">
        <v>552</v>
      </c>
      <c r="F409" s="23"/>
      <c r="G409" s="23"/>
      <c r="H409" s="23">
        <f>5158.71941757085-4000</f>
        <v>1158.7194175708501</v>
      </c>
    </row>
    <row r="410" spans="1:8" ht="52.5" customHeight="1" x14ac:dyDescent="0.25">
      <c r="A410" s="10">
        <v>257</v>
      </c>
      <c r="B410" s="40" t="s">
        <v>553</v>
      </c>
      <c r="C410" s="41"/>
      <c r="D410" s="42"/>
      <c r="E410" s="20" t="s">
        <v>554</v>
      </c>
      <c r="F410" s="23"/>
      <c r="G410" s="23"/>
      <c r="H410" s="23">
        <f>8795.55941757085-6000</f>
        <v>2795.5594175708502</v>
      </c>
    </row>
    <row r="411" spans="1:8" ht="52.5" customHeight="1" x14ac:dyDescent="0.25">
      <c r="A411" s="10">
        <v>258</v>
      </c>
      <c r="B411" s="40" t="s">
        <v>555</v>
      </c>
      <c r="C411" s="41"/>
      <c r="D411" s="42"/>
      <c r="E411" s="20" t="s">
        <v>556</v>
      </c>
      <c r="F411" s="23"/>
      <c r="G411" s="23"/>
      <c r="H411" s="23">
        <v>1020.3534175708501</v>
      </c>
    </row>
    <row r="412" spans="1:8" ht="52.5" customHeight="1" x14ac:dyDescent="0.25">
      <c r="A412" s="10">
        <v>259</v>
      </c>
      <c r="B412" s="40" t="s">
        <v>557</v>
      </c>
      <c r="C412" s="41"/>
      <c r="D412" s="42"/>
      <c r="E412" s="20" t="s">
        <v>558</v>
      </c>
      <c r="F412" s="23"/>
      <c r="G412" s="23"/>
      <c r="H412" s="23">
        <v>972.80941757085009</v>
      </c>
    </row>
    <row r="413" spans="1:8" ht="52.5" customHeight="1" x14ac:dyDescent="0.25">
      <c r="A413" s="10">
        <v>260</v>
      </c>
      <c r="B413" s="40" t="s">
        <v>559</v>
      </c>
      <c r="C413" s="41"/>
      <c r="D413" s="42"/>
      <c r="E413" s="20" t="s">
        <v>560</v>
      </c>
      <c r="F413" s="23"/>
      <c r="G413" s="23"/>
      <c r="H413" s="23">
        <f>8795.55941757085-5000-2000</f>
        <v>1795.5594175708502</v>
      </c>
    </row>
    <row r="414" spans="1:8" ht="52.5" customHeight="1" x14ac:dyDescent="0.25">
      <c r="A414" s="10">
        <v>261</v>
      </c>
      <c r="B414" s="40" t="s">
        <v>561</v>
      </c>
      <c r="C414" s="41"/>
      <c r="D414" s="42"/>
      <c r="E414" s="20" t="s">
        <v>562</v>
      </c>
      <c r="F414" s="23"/>
      <c r="G414" s="23"/>
      <c r="H414" s="23">
        <f>3489.07887757085-1800</f>
        <v>1689.0788775708502</v>
      </c>
    </row>
    <row r="415" spans="1:8" ht="52.5" customHeight="1" x14ac:dyDescent="0.25">
      <c r="A415" s="10">
        <v>262</v>
      </c>
      <c r="B415" s="40" t="s">
        <v>563</v>
      </c>
      <c r="C415" s="41"/>
      <c r="D415" s="42"/>
      <c r="E415" s="20" t="s">
        <v>564</v>
      </c>
      <c r="F415" s="23"/>
      <c r="G415" s="23"/>
      <c r="H415" s="23">
        <f>1802.25941757085-900</f>
        <v>902.25941757085002</v>
      </c>
    </row>
    <row r="416" spans="1:8" ht="66" customHeight="1" x14ac:dyDescent="0.25">
      <c r="A416" s="10">
        <v>263</v>
      </c>
      <c r="B416" s="40" t="s">
        <v>565</v>
      </c>
      <c r="C416" s="41"/>
      <c r="D416" s="42"/>
      <c r="E416" s="20" t="s">
        <v>566</v>
      </c>
      <c r="F416" s="23"/>
      <c r="G416" s="23"/>
      <c r="H416" s="23">
        <f>1827.09341757085-900</f>
        <v>927.09341757085008</v>
      </c>
    </row>
    <row r="417" spans="1:8" ht="18" customHeight="1" x14ac:dyDescent="0.25">
      <c r="A417" s="36" t="s">
        <v>31</v>
      </c>
      <c r="B417" s="37"/>
      <c r="C417" s="37"/>
      <c r="D417" s="37"/>
      <c r="E417" s="38"/>
      <c r="F417" s="22"/>
      <c r="G417" s="22"/>
      <c r="H417" s="22">
        <v>22837.42574842105</v>
      </c>
    </row>
    <row r="418" spans="1:8" ht="15.75" x14ac:dyDescent="0.25">
      <c r="A418" s="39" t="s">
        <v>567</v>
      </c>
      <c r="B418" s="39"/>
      <c r="C418" s="39"/>
      <c r="D418" s="39"/>
      <c r="E418" s="39"/>
      <c r="F418" s="22">
        <v>6500</v>
      </c>
      <c r="G418" s="22"/>
      <c r="H418" s="22">
        <v>23564.625748421051</v>
      </c>
    </row>
    <row r="419" spans="1:8" s="14" customFormat="1" ht="21" customHeight="1" x14ac:dyDescent="0.25">
      <c r="A419" s="34" t="s">
        <v>568</v>
      </c>
      <c r="B419" s="35"/>
      <c r="C419" s="35"/>
      <c r="D419" s="35"/>
      <c r="E419" s="35"/>
      <c r="F419" s="35"/>
      <c r="G419" s="35"/>
      <c r="H419" s="35"/>
    </row>
    <row r="420" spans="1:8" ht="20.25" customHeight="1" x14ac:dyDescent="0.25">
      <c r="A420" s="34" t="s">
        <v>29</v>
      </c>
      <c r="B420" s="35"/>
      <c r="C420" s="35"/>
      <c r="D420" s="35"/>
      <c r="E420" s="35"/>
      <c r="F420" s="35"/>
      <c r="G420" s="35"/>
      <c r="H420" s="35"/>
    </row>
    <row r="421" spans="1:8" ht="41.25" customHeight="1" x14ac:dyDescent="0.25">
      <c r="A421" s="10">
        <v>264</v>
      </c>
      <c r="B421" s="40" t="s">
        <v>569</v>
      </c>
      <c r="C421" s="41"/>
      <c r="D421" s="42"/>
      <c r="E421" s="20" t="s">
        <v>570</v>
      </c>
      <c r="F421" s="23"/>
      <c r="G421" s="23"/>
      <c r="H421" s="23">
        <f>3075.01672-1800</f>
        <v>1275.0167200000001</v>
      </c>
    </row>
    <row r="422" spans="1:8" ht="52.5" customHeight="1" x14ac:dyDescent="0.25">
      <c r="A422" s="10">
        <v>265</v>
      </c>
      <c r="B422" s="40" t="s">
        <v>571</v>
      </c>
      <c r="C422" s="41"/>
      <c r="D422" s="42"/>
      <c r="E422" s="20" t="s">
        <v>572</v>
      </c>
      <c r="F422" s="23"/>
      <c r="G422" s="23"/>
      <c r="H422" s="23">
        <f>7500-6000</f>
        <v>1500</v>
      </c>
    </row>
    <row r="423" spans="1:8" ht="52.5" customHeight="1" x14ac:dyDescent="0.25">
      <c r="A423" s="10">
        <v>266</v>
      </c>
      <c r="B423" s="40" t="s">
        <v>573</v>
      </c>
      <c r="C423" s="41"/>
      <c r="D423" s="42"/>
      <c r="E423" s="20" t="s">
        <v>574</v>
      </c>
      <c r="F423" s="23"/>
      <c r="G423" s="23"/>
      <c r="H423" s="23">
        <f>7442.632-5000</f>
        <v>2442.6319999999996</v>
      </c>
    </row>
    <row r="424" spans="1:8" ht="52.5" customHeight="1" x14ac:dyDescent="0.25">
      <c r="A424" s="10">
        <v>267</v>
      </c>
      <c r="B424" s="40" t="s">
        <v>575</v>
      </c>
      <c r="C424" s="41"/>
      <c r="D424" s="42"/>
      <c r="E424" s="20" t="s">
        <v>576</v>
      </c>
      <c r="F424" s="23"/>
      <c r="G424" s="23"/>
      <c r="H424" s="23">
        <f>6908.67141757085-4000-900</f>
        <v>2008.6714175708503</v>
      </c>
    </row>
    <row r="425" spans="1:8" ht="52.5" customHeight="1" x14ac:dyDescent="0.25">
      <c r="A425" s="10">
        <v>268</v>
      </c>
      <c r="B425" s="40" t="s">
        <v>577</v>
      </c>
      <c r="C425" s="41"/>
      <c r="D425" s="42"/>
      <c r="E425" s="20" t="s">
        <v>578</v>
      </c>
      <c r="F425" s="23"/>
      <c r="G425" s="23"/>
      <c r="H425" s="23">
        <f>6514.61941757085-5000</f>
        <v>1514.6194175708497</v>
      </c>
    </row>
    <row r="426" spans="1:8" ht="44.25" customHeight="1" x14ac:dyDescent="0.25">
      <c r="A426" s="10">
        <v>269</v>
      </c>
      <c r="B426" s="40" t="s">
        <v>579</v>
      </c>
      <c r="C426" s="41"/>
      <c r="D426" s="42"/>
      <c r="E426" s="20" t="s">
        <v>580</v>
      </c>
      <c r="F426" s="23"/>
      <c r="G426" s="23"/>
      <c r="H426" s="23">
        <f>8708.85349757085-5000-1550</f>
        <v>2158.8534975708499</v>
      </c>
    </row>
    <row r="427" spans="1:8" ht="52.5" customHeight="1" x14ac:dyDescent="0.25">
      <c r="A427" s="10">
        <v>270</v>
      </c>
      <c r="B427" s="40" t="s">
        <v>581</v>
      </c>
      <c r="C427" s="41"/>
      <c r="D427" s="42"/>
      <c r="E427" s="20" t="s">
        <v>582</v>
      </c>
      <c r="F427" s="23"/>
      <c r="G427" s="23"/>
      <c r="H427" s="23">
        <f>8795.55941757085-5000-1000</f>
        <v>2795.5594175708502</v>
      </c>
    </row>
    <row r="428" spans="1:8" ht="32.25" customHeight="1" x14ac:dyDescent="0.25">
      <c r="A428" s="10">
        <v>271</v>
      </c>
      <c r="B428" s="40" t="s">
        <v>583</v>
      </c>
      <c r="C428" s="41"/>
      <c r="D428" s="42"/>
      <c r="E428" s="20" t="s">
        <v>584</v>
      </c>
      <c r="F428" s="23"/>
      <c r="G428" s="23"/>
      <c r="H428" s="23">
        <f>7286.80741757085-4000-1000</f>
        <v>2286.8074175708498</v>
      </c>
    </row>
    <row r="429" spans="1:8" ht="52.5" customHeight="1" x14ac:dyDescent="0.25">
      <c r="A429" s="10">
        <v>272</v>
      </c>
      <c r="B429" s="40" t="s">
        <v>585</v>
      </c>
      <c r="C429" s="41"/>
      <c r="D429" s="42"/>
      <c r="E429" s="20" t="s">
        <v>586</v>
      </c>
      <c r="F429" s="23"/>
      <c r="G429" s="23"/>
      <c r="H429" s="23">
        <f>6795.55941757085-3000</f>
        <v>3795.5594175708502</v>
      </c>
    </row>
    <row r="430" spans="1:8" ht="18" customHeight="1" x14ac:dyDescent="0.25">
      <c r="A430" s="36" t="s">
        <v>31</v>
      </c>
      <c r="B430" s="37"/>
      <c r="C430" s="37"/>
      <c r="D430" s="37"/>
      <c r="E430" s="38"/>
      <c r="F430" s="22"/>
      <c r="G430" s="22"/>
      <c r="H430" s="22">
        <v>19777.7193054251</v>
      </c>
    </row>
    <row r="431" spans="1:8" ht="15.75" x14ac:dyDescent="0.25">
      <c r="A431" s="39" t="s">
        <v>587</v>
      </c>
      <c r="B431" s="39"/>
      <c r="C431" s="39"/>
      <c r="D431" s="39"/>
      <c r="E431" s="39"/>
      <c r="F431" s="22"/>
      <c r="G431" s="22"/>
      <c r="H431" s="22">
        <v>19777.7193054251</v>
      </c>
    </row>
    <row r="432" spans="1:8" s="14" customFormat="1" ht="21" customHeight="1" x14ac:dyDescent="0.25">
      <c r="A432" s="34" t="s">
        <v>588</v>
      </c>
      <c r="B432" s="35"/>
      <c r="C432" s="35"/>
      <c r="D432" s="35"/>
      <c r="E432" s="35"/>
      <c r="F432" s="35"/>
      <c r="G432" s="35"/>
      <c r="H432" s="35"/>
    </row>
    <row r="433" spans="1:8" ht="20.25" customHeight="1" x14ac:dyDescent="0.25">
      <c r="A433" s="34" t="s">
        <v>7</v>
      </c>
      <c r="B433" s="35"/>
      <c r="C433" s="35"/>
      <c r="D433" s="35"/>
      <c r="E433" s="35"/>
      <c r="F433" s="35"/>
      <c r="G433" s="35"/>
      <c r="H433" s="35"/>
    </row>
    <row r="434" spans="1:8" ht="195" customHeight="1" x14ac:dyDescent="0.25">
      <c r="A434" s="10">
        <v>273</v>
      </c>
      <c r="B434" s="40" t="s">
        <v>589</v>
      </c>
      <c r="C434" s="41"/>
      <c r="D434" s="42"/>
      <c r="E434" s="20" t="s">
        <v>590</v>
      </c>
      <c r="F434" s="23"/>
      <c r="G434" s="23"/>
      <c r="H434" s="23">
        <f>4489.4-2000-1000</f>
        <v>1489.3999999999996</v>
      </c>
    </row>
    <row r="435" spans="1:8" ht="18" customHeight="1" x14ac:dyDescent="0.25">
      <c r="A435" s="36" t="s">
        <v>30</v>
      </c>
      <c r="B435" s="37"/>
      <c r="C435" s="37"/>
      <c r="D435" s="37"/>
      <c r="E435" s="38"/>
      <c r="F435" s="22"/>
      <c r="G435" s="22"/>
      <c r="H435" s="22">
        <v>1489.3999999999996</v>
      </c>
    </row>
    <row r="436" spans="1:8" ht="20.25" customHeight="1" x14ac:dyDescent="0.25">
      <c r="A436" s="34" t="s">
        <v>29</v>
      </c>
      <c r="B436" s="35"/>
      <c r="C436" s="35"/>
      <c r="D436" s="35"/>
      <c r="E436" s="35"/>
      <c r="F436" s="35"/>
      <c r="G436" s="35"/>
      <c r="H436" s="35"/>
    </row>
    <row r="437" spans="1:8" ht="67.5" customHeight="1" x14ac:dyDescent="0.25">
      <c r="A437" s="10">
        <v>274</v>
      </c>
      <c r="B437" s="40" t="s">
        <v>591</v>
      </c>
      <c r="C437" s="41"/>
      <c r="D437" s="42"/>
      <c r="E437" s="20" t="s">
        <v>592</v>
      </c>
      <c r="F437" s="23"/>
      <c r="G437" s="23"/>
      <c r="H437" s="23">
        <f>3952.19941757085-2000</f>
        <v>1952.1994175708501</v>
      </c>
    </row>
    <row r="438" spans="1:8" ht="52.5" customHeight="1" x14ac:dyDescent="0.25">
      <c r="A438" s="10">
        <v>275</v>
      </c>
      <c r="B438" s="40" t="s">
        <v>593</v>
      </c>
      <c r="C438" s="41"/>
      <c r="D438" s="42"/>
      <c r="E438" s="20" t="s">
        <v>594</v>
      </c>
      <c r="F438" s="23"/>
      <c r="G438" s="23"/>
      <c r="H438" s="23">
        <f>2405.29141757085-1400</f>
        <v>1005.2914175708502</v>
      </c>
    </row>
    <row r="439" spans="1:8" ht="52.5" customHeight="1" x14ac:dyDescent="0.25">
      <c r="A439" s="10">
        <v>276</v>
      </c>
      <c r="B439" s="40" t="s">
        <v>595</v>
      </c>
      <c r="C439" s="41"/>
      <c r="D439" s="42"/>
      <c r="E439" s="20" t="s">
        <v>596</v>
      </c>
      <c r="F439" s="23"/>
      <c r="G439" s="23"/>
      <c r="H439" s="23">
        <f>3254.464-1800</f>
        <v>1454.4639999999999</v>
      </c>
    </row>
    <row r="440" spans="1:8" ht="52.5" customHeight="1" x14ac:dyDescent="0.25">
      <c r="A440" s="10">
        <v>277</v>
      </c>
      <c r="B440" s="40" t="s">
        <v>597</v>
      </c>
      <c r="C440" s="41"/>
      <c r="D440" s="42"/>
      <c r="E440" s="20" t="s">
        <v>598</v>
      </c>
      <c r="F440" s="23"/>
      <c r="G440" s="23"/>
      <c r="H440" s="23">
        <f>2152.91072757085-1500</f>
        <v>652.91072757085021</v>
      </c>
    </row>
    <row r="441" spans="1:8" ht="52.5" customHeight="1" x14ac:dyDescent="0.25">
      <c r="A441" s="10">
        <v>278</v>
      </c>
      <c r="B441" s="40" t="s">
        <v>599</v>
      </c>
      <c r="C441" s="41"/>
      <c r="D441" s="42"/>
      <c r="E441" s="20" t="s">
        <v>600</v>
      </c>
      <c r="F441" s="23"/>
      <c r="G441" s="23"/>
      <c r="H441" s="23">
        <f>7776.14941757085-4000-2000</f>
        <v>1776.1494175708503</v>
      </c>
    </row>
    <row r="442" spans="1:8" ht="52.5" customHeight="1" x14ac:dyDescent="0.25">
      <c r="A442" s="10">
        <v>279</v>
      </c>
      <c r="B442" s="40" t="s">
        <v>601</v>
      </c>
      <c r="C442" s="41"/>
      <c r="D442" s="42"/>
      <c r="E442" s="20" t="s">
        <v>602</v>
      </c>
      <c r="F442" s="23"/>
      <c r="G442" s="23"/>
      <c r="H442" s="23">
        <f>1637.71141757085-900</f>
        <v>737.71141757085002</v>
      </c>
    </row>
    <row r="443" spans="1:8" ht="52.5" customHeight="1" x14ac:dyDescent="0.25">
      <c r="A443" s="10">
        <v>280</v>
      </c>
      <c r="B443" s="40" t="s">
        <v>603</v>
      </c>
      <c r="C443" s="41"/>
      <c r="D443" s="42"/>
      <c r="E443" s="20" t="s">
        <v>604</v>
      </c>
      <c r="F443" s="23"/>
      <c r="G443" s="23"/>
      <c r="H443" s="23">
        <f>2446.79141757085-1500</f>
        <v>946.79141757085017</v>
      </c>
    </row>
    <row r="444" spans="1:8" ht="46.5" customHeight="1" x14ac:dyDescent="0.25">
      <c r="A444" s="10">
        <v>281</v>
      </c>
      <c r="B444" s="40" t="s">
        <v>605</v>
      </c>
      <c r="C444" s="41"/>
      <c r="D444" s="42"/>
      <c r="E444" s="20" t="s">
        <v>606</v>
      </c>
      <c r="F444" s="23"/>
      <c r="G444" s="23"/>
      <c r="H444" s="23">
        <f>2382.94941757085-1300</f>
        <v>1082.9494175708501</v>
      </c>
    </row>
    <row r="445" spans="1:8" ht="52.5" customHeight="1" x14ac:dyDescent="0.25">
      <c r="A445" s="10">
        <v>282</v>
      </c>
      <c r="B445" s="40" t="s">
        <v>607</v>
      </c>
      <c r="C445" s="41"/>
      <c r="D445" s="42"/>
      <c r="E445" s="20" t="s">
        <v>608</v>
      </c>
      <c r="F445" s="23"/>
      <c r="G445" s="23"/>
      <c r="H445" s="23">
        <f>3438.37141757085-2000</f>
        <v>1438.3714175708501</v>
      </c>
    </row>
    <row r="446" spans="1:8" ht="39" customHeight="1" x14ac:dyDescent="0.25">
      <c r="A446" s="10">
        <v>283</v>
      </c>
      <c r="B446" s="40" t="s">
        <v>609</v>
      </c>
      <c r="C446" s="41"/>
      <c r="D446" s="42"/>
      <c r="E446" s="20" t="s">
        <v>610</v>
      </c>
      <c r="F446" s="23"/>
      <c r="G446" s="23"/>
      <c r="H446" s="23">
        <v>944.60541757085014</v>
      </c>
    </row>
    <row r="447" spans="1:8" ht="18" customHeight="1" x14ac:dyDescent="0.25">
      <c r="A447" s="36" t="s">
        <v>31</v>
      </c>
      <c r="B447" s="37"/>
      <c r="C447" s="37"/>
      <c r="D447" s="37"/>
      <c r="E447" s="38"/>
      <c r="F447" s="22"/>
      <c r="G447" s="22"/>
      <c r="H447" s="22">
        <v>11991.444068137651</v>
      </c>
    </row>
    <row r="448" spans="1:8" ht="15.75" x14ac:dyDescent="0.25">
      <c r="A448" s="39" t="s">
        <v>611</v>
      </c>
      <c r="B448" s="39"/>
      <c r="C448" s="39"/>
      <c r="D448" s="39"/>
      <c r="E448" s="39"/>
      <c r="F448" s="22"/>
      <c r="G448" s="22"/>
      <c r="H448" s="22">
        <v>13480.844068137651</v>
      </c>
    </row>
    <row r="449" spans="1:8" s="14" customFormat="1" ht="21" customHeight="1" x14ac:dyDescent="0.25">
      <c r="A449" s="34" t="s">
        <v>612</v>
      </c>
      <c r="B449" s="35"/>
      <c r="C449" s="35"/>
      <c r="D449" s="35"/>
      <c r="E449" s="35"/>
      <c r="F449" s="35"/>
      <c r="G449" s="35"/>
      <c r="H449" s="35"/>
    </row>
    <row r="450" spans="1:8" ht="20.25" customHeight="1" x14ac:dyDescent="0.25">
      <c r="A450" s="34" t="s">
        <v>29</v>
      </c>
      <c r="B450" s="35"/>
      <c r="C450" s="35"/>
      <c r="D450" s="35"/>
      <c r="E450" s="35"/>
      <c r="F450" s="35"/>
      <c r="G450" s="35"/>
      <c r="H450" s="35"/>
    </row>
    <row r="451" spans="1:8" ht="52.5" customHeight="1" x14ac:dyDescent="0.25">
      <c r="A451" s="10">
        <v>284</v>
      </c>
      <c r="B451" s="40" t="s">
        <v>613</v>
      </c>
      <c r="C451" s="41"/>
      <c r="D451" s="42"/>
      <c r="E451" s="20" t="s">
        <v>614</v>
      </c>
      <c r="F451" s="13"/>
      <c r="G451" s="13"/>
      <c r="H451" s="23">
        <v>592.6</v>
      </c>
    </row>
    <row r="452" spans="1:8" ht="52.5" customHeight="1" x14ac:dyDescent="0.25">
      <c r="A452" s="10">
        <v>285</v>
      </c>
      <c r="B452" s="40" t="s">
        <v>615</v>
      </c>
      <c r="C452" s="41"/>
      <c r="D452" s="42"/>
      <c r="E452" s="20" t="s">
        <v>616</v>
      </c>
      <c r="F452" s="13"/>
      <c r="G452" s="13"/>
      <c r="H452" s="23">
        <v>1354.75841757085</v>
      </c>
    </row>
    <row r="453" spans="1:8" ht="52.5" customHeight="1" x14ac:dyDescent="0.25">
      <c r="A453" s="10">
        <v>286</v>
      </c>
      <c r="B453" s="40" t="s">
        <v>617</v>
      </c>
      <c r="C453" s="41"/>
      <c r="D453" s="42"/>
      <c r="E453" s="20" t="s">
        <v>618</v>
      </c>
      <c r="F453" s="13"/>
      <c r="G453" s="13"/>
      <c r="H453" s="23">
        <f>8771.43041757085-5000-1000</f>
        <v>2771.4304175708494</v>
      </c>
    </row>
    <row r="454" spans="1:8" ht="52.5" customHeight="1" x14ac:dyDescent="0.25">
      <c r="A454" s="10">
        <v>287</v>
      </c>
      <c r="B454" s="40" t="s">
        <v>619</v>
      </c>
      <c r="C454" s="41"/>
      <c r="D454" s="42"/>
      <c r="E454" s="20" t="s">
        <v>620</v>
      </c>
      <c r="F454" s="13"/>
      <c r="G454" s="13"/>
      <c r="H454" s="23">
        <f>3790.73555757085-2200</f>
        <v>1590.7355575708498</v>
      </c>
    </row>
    <row r="455" spans="1:8" ht="18" customHeight="1" x14ac:dyDescent="0.25">
      <c r="A455" s="36" t="s">
        <v>31</v>
      </c>
      <c r="B455" s="37"/>
      <c r="C455" s="37"/>
      <c r="D455" s="37"/>
      <c r="E455" s="38"/>
      <c r="F455" s="7"/>
      <c r="G455" s="7"/>
      <c r="H455" s="22">
        <v>6309.5243927125493</v>
      </c>
    </row>
    <row r="456" spans="1:8" ht="15.75" x14ac:dyDescent="0.25">
      <c r="A456" s="39" t="s">
        <v>621</v>
      </c>
      <c r="B456" s="39"/>
      <c r="C456" s="39"/>
      <c r="D456" s="39"/>
      <c r="E456" s="39"/>
      <c r="F456" s="7"/>
      <c r="G456" s="7"/>
      <c r="H456" s="22">
        <v>6309.5243927125493</v>
      </c>
    </row>
    <row r="457" spans="1:8" s="14" customFormat="1" ht="21" customHeight="1" x14ac:dyDescent="0.25">
      <c r="A457" s="34" t="s">
        <v>622</v>
      </c>
      <c r="B457" s="35"/>
      <c r="C457" s="35"/>
      <c r="D457" s="35"/>
      <c r="E457" s="35"/>
      <c r="F457" s="35"/>
      <c r="G457" s="35"/>
      <c r="H457" s="35"/>
    </row>
    <row r="458" spans="1:8" ht="20.25" customHeight="1" x14ac:dyDescent="0.25">
      <c r="A458" s="65" t="s">
        <v>7</v>
      </c>
      <c r="B458" s="66"/>
      <c r="C458" s="66"/>
      <c r="D458" s="66"/>
      <c r="E458" s="66"/>
      <c r="F458" s="66"/>
      <c r="G458" s="66"/>
      <c r="H458" s="35"/>
    </row>
    <row r="459" spans="1:8" ht="43.5" customHeight="1" x14ac:dyDescent="0.25">
      <c r="A459" s="29">
        <v>288</v>
      </c>
      <c r="B459" s="47" t="s">
        <v>733</v>
      </c>
      <c r="C459" s="47"/>
      <c r="D459" s="47"/>
      <c r="E459" s="20" t="s">
        <v>739</v>
      </c>
      <c r="F459" s="31">
        <v>22944.9</v>
      </c>
      <c r="G459" s="26"/>
      <c r="H459" s="26"/>
    </row>
    <row r="460" spans="1:8" ht="20.25" customHeight="1" x14ac:dyDescent="0.25">
      <c r="A460" s="67" t="s">
        <v>30</v>
      </c>
      <c r="B460" s="67"/>
      <c r="C460" s="67"/>
      <c r="D460" s="67"/>
      <c r="E460" s="67"/>
      <c r="F460" s="30">
        <v>22944.9</v>
      </c>
      <c r="G460" s="26"/>
      <c r="H460" s="26"/>
    </row>
    <row r="461" spans="1:8" ht="20.25" customHeight="1" x14ac:dyDescent="0.25">
      <c r="A461" s="34" t="s">
        <v>29</v>
      </c>
      <c r="B461" s="35"/>
      <c r="C461" s="35"/>
      <c r="D461" s="35"/>
      <c r="E461" s="35"/>
      <c r="F461" s="35"/>
      <c r="G461" s="35"/>
      <c r="H461" s="35"/>
    </row>
    <row r="462" spans="1:8" ht="52.5" customHeight="1" x14ac:dyDescent="0.25">
      <c r="A462" s="10">
        <v>289</v>
      </c>
      <c r="B462" s="40" t="s">
        <v>623</v>
      </c>
      <c r="C462" s="41"/>
      <c r="D462" s="42"/>
      <c r="E462" s="20" t="s">
        <v>624</v>
      </c>
      <c r="F462" s="23"/>
      <c r="G462" s="23"/>
      <c r="H462" s="23">
        <f>8658.57541757085-5000</f>
        <v>3658.5754175708498</v>
      </c>
    </row>
    <row r="463" spans="1:8" ht="28.5" customHeight="1" x14ac:dyDescent="0.25">
      <c r="A463" s="10">
        <v>290</v>
      </c>
      <c r="B463" s="40" t="s">
        <v>625</v>
      </c>
      <c r="C463" s="41"/>
      <c r="D463" s="42"/>
      <c r="E463" s="20" t="s">
        <v>626</v>
      </c>
      <c r="F463" s="23"/>
      <c r="G463" s="23"/>
      <c r="H463" s="23">
        <f>8795.55941757085-5000</f>
        <v>3795.5594175708502</v>
      </c>
    </row>
    <row r="464" spans="1:8" ht="52.5" customHeight="1" x14ac:dyDescent="0.25">
      <c r="A464" s="10">
        <v>291</v>
      </c>
      <c r="B464" s="40" t="s">
        <v>627</v>
      </c>
      <c r="C464" s="41"/>
      <c r="D464" s="42"/>
      <c r="E464" s="20" t="s">
        <v>628</v>
      </c>
      <c r="F464" s="23"/>
      <c r="G464" s="23"/>
      <c r="H464" s="23">
        <f>6364.19941757085-3000</f>
        <v>3364.1994175708496</v>
      </c>
    </row>
    <row r="465" spans="1:8" ht="45" customHeight="1" x14ac:dyDescent="0.25">
      <c r="A465" s="10">
        <v>292</v>
      </c>
      <c r="B465" s="40" t="s">
        <v>629</v>
      </c>
      <c r="C465" s="41"/>
      <c r="D465" s="42"/>
      <c r="E465" s="20" t="s">
        <v>630</v>
      </c>
      <c r="F465" s="23"/>
      <c r="G465" s="23"/>
      <c r="H465" s="23">
        <v>969.87841757085016</v>
      </c>
    </row>
    <row r="466" spans="1:8" ht="37.5" customHeight="1" x14ac:dyDescent="0.25">
      <c r="A466" s="10">
        <v>293</v>
      </c>
      <c r="B466" s="40" t="s">
        <v>631</v>
      </c>
      <c r="C466" s="41"/>
      <c r="D466" s="42"/>
      <c r="E466" s="20" t="s">
        <v>632</v>
      </c>
      <c r="F466" s="23"/>
      <c r="G466" s="23"/>
      <c r="H466" s="23">
        <v>2576.9299175708497</v>
      </c>
    </row>
    <row r="467" spans="1:8" ht="52.5" customHeight="1" x14ac:dyDescent="0.25">
      <c r="A467" s="10">
        <v>294</v>
      </c>
      <c r="B467" s="40" t="s">
        <v>633</v>
      </c>
      <c r="C467" s="41"/>
      <c r="D467" s="42"/>
      <c r="E467" s="20" t="s">
        <v>634</v>
      </c>
      <c r="F467" s="23"/>
      <c r="G467" s="23"/>
      <c r="H467" s="23">
        <v>2446.1394175708497</v>
      </c>
    </row>
    <row r="468" spans="1:8" ht="67.5" customHeight="1" x14ac:dyDescent="0.25">
      <c r="A468" s="10">
        <v>295</v>
      </c>
      <c r="B468" s="40" t="s">
        <v>635</v>
      </c>
      <c r="C468" s="41"/>
      <c r="D468" s="42"/>
      <c r="E468" s="20" t="s">
        <v>636</v>
      </c>
      <c r="F468" s="23"/>
      <c r="G468" s="23"/>
      <c r="H468" s="23">
        <f>6819.8-2000-2000</f>
        <v>2819.8</v>
      </c>
    </row>
    <row r="469" spans="1:8" ht="18" customHeight="1" x14ac:dyDescent="0.25">
      <c r="A469" s="36" t="s">
        <v>31</v>
      </c>
      <c r="B469" s="37"/>
      <c r="C469" s="37"/>
      <c r="D469" s="37"/>
      <c r="E469" s="38"/>
      <c r="F469" s="22"/>
      <c r="G469" s="22"/>
      <c r="H469" s="22">
        <v>19631.082005425098</v>
      </c>
    </row>
    <row r="470" spans="1:8" ht="15.75" x14ac:dyDescent="0.25">
      <c r="A470" s="39" t="s">
        <v>637</v>
      </c>
      <c r="B470" s="39"/>
      <c r="C470" s="39"/>
      <c r="D470" s="39"/>
      <c r="E470" s="39"/>
      <c r="F470" s="22">
        <v>22944.9</v>
      </c>
      <c r="G470" s="22"/>
      <c r="H470" s="22">
        <v>19631.082005425098</v>
      </c>
    </row>
    <row r="471" spans="1:8" s="14" customFormat="1" ht="21" customHeight="1" x14ac:dyDescent="0.25">
      <c r="A471" s="34" t="s">
        <v>638</v>
      </c>
      <c r="B471" s="35"/>
      <c r="C471" s="35"/>
      <c r="D471" s="35"/>
      <c r="E471" s="35"/>
      <c r="F471" s="35"/>
      <c r="G471" s="35"/>
      <c r="H471" s="35"/>
    </row>
    <row r="472" spans="1:8" ht="20.25" customHeight="1" x14ac:dyDescent="0.25">
      <c r="A472" s="34" t="s">
        <v>7</v>
      </c>
      <c r="B472" s="35"/>
      <c r="C472" s="35"/>
      <c r="D472" s="35"/>
      <c r="E472" s="35"/>
      <c r="F472" s="35"/>
      <c r="G472" s="35"/>
      <c r="H472" s="35"/>
    </row>
    <row r="473" spans="1:8" ht="52.5" customHeight="1" x14ac:dyDescent="0.25">
      <c r="A473" s="10">
        <v>296</v>
      </c>
      <c r="B473" s="40" t="s">
        <v>639</v>
      </c>
      <c r="C473" s="41"/>
      <c r="D473" s="42"/>
      <c r="E473" s="63" t="s">
        <v>640</v>
      </c>
      <c r="F473" s="23"/>
      <c r="G473" s="23">
        <v>1553.0989999999999</v>
      </c>
      <c r="H473" s="23">
        <f>13169.53455-7000-2000-2000</f>
        <v>2169.5345500000003</v>
      </c>
    </row>
    <row r="474" spans="1:8" ht="52.5" customHeight="1" x14ac:dyDescent="0.25">
      <c r="A474" s="10">
        <v>297</v>
      </c>
      <c r="B474" s="47" t="s">
        <v>730</v>
      </c>
      <c r="C474" s="47"/>
      <c r="D474" s="47"/>
      <c r="E474" s="64"/>
      <c r="F474" s="23">
        <v>8567.6</v>
      </c>
      <c r="G474" s="23"/>
      <c r="H474" s="23"/>
    </row>
    <row r="475" spans="1:8" ht="18" customHeight="1" x14ac:dyDescent="0.25">
      <c r="A475" s="36" t="s">
        <v>30</v>
      </c>
      <c r="B475" s="37"/>
      <c r="C475" s="37"/>
      <c r="D475" s="37"/>
      <c r="E475" s="38"/>
      <c r="F475" s="22">
        <v>8567.6</v>
      </c>
      <c r="G475" s="22">
        <v>1553.0989999999999</v>
      </c>
      <c r="H475" s="22">
        <v>2169.5345500000003</v>
      </c>
    </row>
    <row r="476" spans="1:8" ht="20.25" customHeight="1" x14ac:dyDescent="0.25">
      <c r="A476" s="34" t="s">
        <v>29</v>
      </c>
      <c r="B476" s="35"/>
      <c r="C476" s="35"/>
      <c r="D476" s="35"/>
      <c r="E476" s="35"/>
      <c r="F476" s="35"/>
      <c r="G476" s="35"/>
      <c r="H476" s="35"/>
    </row>
    <row r="477" spans="1:8" ht="52.5" customHeight="1" x14ac:dyDescent="0.25">
      <c r="A477" s="10">
        <v>298</v>
      </c>
      <c r="B477" s="40" t="s">
        <v>641</v>
      </c>
      <c r="C477" s="41"/>
      <c r="D477" s="42"/>
      <c r="E477" s="20" t="s">
        <v>642</v>
      </c>
      <c r="F477" s="23"/>
      <c r="G477" s="23"/>
      <c r="H477" s="23">
        <f>6002.05141757085-4500</f>
        <v>1502.0514175708504</v>
      </c>
    </row>
    <row r="478" spans="1:8" ht="52.5" customHeight="1" x14ac:dyDescent="0.25">
      <c r="A478" s="10">
        <v>299</v>
      </c>
      <c r="B478" s="40" t="s">
        <v>643</v>
      </c>
      <c r="C478" s="41"/>
      <c r="D478" s="42"/>
      <c r="E478" s="20" t="s">
        <v>644</v>
      </c>
      <c r="F478" s="23"/>
      <c r="G478" s="23"/>
      <c r="H478" s="23">
        <f>7499.92694-4000</f>
        <v>3499.9269400000003</v>
      </c>
    </row>
    <row r="479" spans="1:8" ht="52.5" customHeight="1" x14ac:dyDescent="0.25">
      <c r="A479" s="10">
        <v>300</v>
      </c>
      <c r="B479" s="40" t="s">
        <v>645</v>
      </c>
      <c r="C479" s="41"/>
      <c r="D479" s="42"/>
      <c r="E479" s="20" t="s">
        <v>646</v>
      </c>
      <c r="F479" s="23"/>
      <c r="G479" s="23"/>
      <c r="H479" s="23">
        <f>8650.04341757085-5000</f>
        <v>3650.0434175708506</v>
      </c>
    </row>
    <row r="480" spans="1:8" ht="52.5" customHeight="1" x14ac:dyDescent="0.25">
      <c r="A480" s="10">
        <v>301</v>
      </c>
      <c r="B480" s="40" t="s">
        <v>647</v>
      </c>
      <c r="C480" s="41"/>
      <c r="D480" s="42"/>
      <c r="E480" s="20" t="s">
        <v>648</v>
      </c>
      <c r="F480" s="23"/>
      <c r="G480" s="23"/>
      <c r="H480" s="23">
        <v>2021.0342800000003</v>
      </c>
    </row>
    <row r="481" spans="1:8" ht="45" customHeight="1" x14ac:dyDescent="0.25">
      <c r="A481" s="10">
        <v>302</v>
      </c>
      <c r="B481" s="40" t="s">
        <v>649</v>
      </c>
      <c r="C481" s="41"/>
      <c r="D481" s="42"/>
      <c r="E481" s="20" t="s">
        <v>650</v>
      </c>
      <c r="F481" s="23"/>
      <c r="G481" s="23"/>
      <c r="H481" s="23">
        <f>6789.5-3000</f>
        <v>3789.5</v>
      </c>
    </row>
    <row r="482" spans="1:8" ht="52.5" customHeight="1" x14ac:dyDescent="0.25">
      <c r="A482" s="10">
        <v>303</v>
      </c>
      <c r="B482" s="40" t="s">
        <v>651</v>
      </c>
      <c r="C482" s="41"/>
      <c r="D482" s="42"/>
      <c r="E482" s="20" t="s">
        <v>652</v>
      </c>
      <c r="F482" s="23"/>
      <c r="G482" s="23"/>
      <c r="H482" s="23">
        <v>2566.3343675708502</v>
      </c>
    </row>
    <row r="483" spans="1:8" ht="52.5" customHeight="1" x14ac:dyDescent="0.25">
      <c r="A483" s="10">
        <v>304</v>
      </c>
      <c r="B483" s="40" t="s">
        <v>653</v>
      </c>
      <c r="C483" s="41"/>
      <c r="D483" s="42"/>
      <c r="E483" s="20" t="s">
        <v>654</v>
      </c>
      <c r="F483" s="23"/>
      <c r="G483" s="23"/>
      <c r="H483" s="23">
        <f>6590.4-3000</f>
        <v>3590.3999999999996</v>
      </c>
    </row>
    <row r="484" spans="1:8" ht="42.75" customHeight="1" x14ac:dyDescent="0.25">
      <c r="A484" s="10">
        <v>305</v>
      </c>
      <c r="B484" s="40" t="s">
        <v>655</v>
      </c>
      <c r="C484" s="41"/>
      <c r="D484" s="42"/>
      <c r="E484" s="20" t="s">
        <v>656</v>
      </c>
      <c r="F484" s="23"/>
      <c r="G484" s="23"/>
      <c r="H484" s="23">
        <v>2241.0194175708498</v>
      </c>
    </row>
    <row r="485" spans="1:8" ht="52.5" customHeight="1" x14ac:dyDescent="0.25">
      <c r="A485" s="10">
        <v>306</v>
      </c>
      <c r="B485" s="40" t="s">
        <v>657</v>
      </c>
      <c r="C485" s="41"/>
      <c r="D485" s="42"/>
      <c r="E485" s="20" t="s">
        <v>658</v>
      </c>
      <c r="F485" s="23"/>
      <c r="G485" s="23"/>
      <c r="H485" s="23">
        <f>8795.55940757085-5000</f>
        <v>3795.5594075708505</v>
      </c>
    </row>
    <row r="486" spans="1:8" ht="40.5" customHeight="1" x14ac:dyDescent="0.25">
      <c r="A486" s="10">
        <v>307</v>
      </c>
      <c r="B486" s="40" t="s">
        <v>659</v>
      </c>
      <c r="C486" s="41"/>
      <c r="D486" s="42"/>
      <c r="E486" s="20" t="s">
        <v>660</v>
      </c>
      <c r="F486" s="23"/>
      <c r="G486" s="23"/>
      <c r="H486" s="23">
        <v>3237.5146175708501</v>
      </c>
    </row>
    <row r="487" spans="1:8" ht="18" customHeight="1" x14ac:dyDescent="0.25">
      <c r="A487" s="36" t="s">
        <v>31</v>
      </c>
      <c r="B487" s="37"/>
      <c r="C487" s="37"/>
      <c r="D487" s="37"/>
      <c r="E487" s="38"/>
      <c r="F487" s="22"/>
      <c r="G487" s="22"/>
      <c r="H487" s="22">
        <v>29893.383865425098</v>
      </c>
    </row>
    <row r="488" spans="1:8" ht="15.75" x14ac:dyDescent="0.25">
      <c r="A488" s="39" t="s">
        <v>661</v>
      </c>
      <c r="B488" s="39"/>
      <c r="C488" s="39"/>
      <c r="D488" s="39"/>
      <c r="E488" s="39"/>
      <c r="F488" s="22">
        <v>8567.6</v>
      </c>
      <c r="G488" s="22">
        <v>1553.0989999999999</v>
      </c>
      <c r="H488" s="22">
        <v>32062.918415425098</v>
      </c>
    </row>
    <row r="489" spans="1:8" s="14" customFormat="1" ht="21" customHeight="1" x14ac:dyDescent="0.25">
      <c r="A489" s="34" t="s">
        <v>662</v>
      </c>
      <c r="B489" s="35"/>
      <c r="C489" s="35"/>
      <c r="D489" s="35"/>
      <c r="E489" s="35"/>
      <c r="F489" s="35"/>
      <c r="G489" s="35"/>
      <c r="H489" s="35"/>
    </row>
    <row r="490" spans="1:8" ht="20.25" customHeight="1" x14ac:dyDescent="0.25">
      <c r="A490" s="34" t="s">
        <v>7</v>
      </c>
      <c r="B490" s="35"/>
      <c r="C490" s="35"/>
      <c r="D490" s="35"/>
      <c r="E490" s="35"/>
      <c r="F490" s="35"/>
      <c r="G490" s="35"/>
      <c r="H490" s="35"/>
    </row>
    <row r="491" spans="1:8" ht="39" customHeight="1" x14ac:dyDescent="0.25">
      <c r="A491" s="10">
        <v>308</v>
      </c>
      <c r="B491" s="40" t="s">
        <v>663</v>
      </c>
      <c r="C491" s="41"/>
      <c r="D491" s="42"/>
      <c r="E491" s="20" t="s">
        <v>664</v>
      </c>
      <c r="F491" s="23"/>
      <c r="G491" s="23"/>
      <c r="H491" s="23">
        <f>11147.971-6000-3000</f>
        <v>2147.9709999999995</v>
      </c>
    </row>
    <row r="492" spans="1:8" ht="44.25" customHeight="1" x14ac:dyDescent="0.25">
      <c r="A492" s="10">
        <v>309</v>
      </c>
      <c r="B492" s="40" t="s">
        <v>665</v>
      </c>
      <c r="C492" s="41"/>
      <c r="D492" s="42"/>
      <c r="E492" s="20" t="s">
        <v>666</v>
      </c>
      <c r="F492" s="23"/>
      <c r="G492" s="23">
        <v>212.80887000000001</v>
      </c>
      <c r="H492" s="23">
        <f>5544.010265-4000</f>
        <v>1544.0102649999999</v>
      </c>
    </row>
    <row r="493" spans="1:8" ht="52.5" customHeight="1" x14ac:dyDescent="0.25">
      <c r="A493" s="10">
        <v>310</v>
      </c>
      <c r="B493" s="40" t="s">
        <v>667</v>
      </c>
      <c r="C493" s="41"/>
      <c r="D493" s="42"/>
      <c r="E493" s="20" t="s">
        <v>666</v>
      </c>
      <c r="F493" s="23"/>
      <c r="G493" s="23">
        <v>2293.1413699999998</v>
      </c>
      <c r="H493" s="23">
        <f>12699.64107-6000-3000-1500</f>
        <v>2199.6410699999997</v>
      </c>
    </row>
    <row r="494" spans="1:8" ht="50.25" customHeight="1" x14ac:dyDescent="0.25">
      <c r="A494" s="27">
        <v>311</v>
      </c>
      <c r="B494" s="40" t="s">
        <v>726</v>
      </c>
      <c r="C494" s="41"/>
      <c r="D494" s="42"/>
      <c r="E494" s="20" t="s">
        <v>666</v>
      </c>
      <c r="F494" s="23">
        <v>20509.2</v>
      </c>
      <c r="G494" s="23"/>
      <c r="H494" s="23"/>
    </row>
    <row r="495" spans="1:8" ht="18" customHeight="1" x14ac:dyDescent="0.25">
      <c r="A495" s="36" t="s">
        <v>30</v>
      </c>
      <c r="B495" s="37"/>
      <c r="C495" s="37"/>
      <c r="D495" s="37"/>
      <c r="E495" s="38"/>
      <c r="F495" s="22">
        <v>20509.2</v>
      </c>
      <c r="G495" s="22">
        <v>2505.9502399999997</v>
      </c>
      <c r="H495" s="22">
        <v>5891.6223349999991</v>
      </c>
    </row>
    <row r="496" spans="1:8" ht="15.75" x14ac:dyDescent="0.25">
      <c r="A496" s="39" t="s">
        <v>668</v>
      </c>
      <c r="B496" s="39"/>
      <c r="C496" s="39"/>
      <c r="D496" s="39"/>
      <c r="E496" s="39"/>
      <c r="F496" s="22">
        <v>20509.2</v>
      </c>
      <c r="G496" s="22">
        <v>2505.9502399999997</v>
      </c>
      <c r="H496" s="22">
        <v>5891.6223349999991</v>
      </c>
    </row>
    <row r="497" spans="1:8" s="14" customFormat="1" ht="21" customHeight="1" x14ac:dyDescent="0.25">
      <c r="A497" s="34" t="s">
        <v>669</v>
      </c>
      <c r="B497" s="35"/>
      <c r="C497" s="35"/>
      <c r="D497" s="35"/>
      <c r="E497" s="35"/>
      <c r="F497" s="35"/>
      <c r="G497" s="35"/>
      <c r="H497" s="35"/>
    </row>
    <row r="498" spans="1:8" ht="20.25" customHeight="1" x14ac:dyDescent="0.25">
      <c r="A498" s="34" t="s">
        <v>7</v>
      </c>
      <c r="B498" s="35"/>
      <c r="C498" s="35"/>
      <c r="D498" s="35"/>
      <c r="E498" s="35"/>
      <c r="F498" s="35"/>
      <c r="G498" s="35"/>
      <c r="H498" s="35"/>
    </row>
    <row r="499" spans="1:8" ht="77.25" customHeight="1" x14ac:dyDescent="0.25">
      <c r="A499" s="10">
        <v>312</v>
      </c>
      <c r="B499" s="40" t="s">
        <v>670</v>
      </c>
      <c r="C499" s="41"/>
      <c r="D499" s="42"/>
      <c r="E499" s="20" t="s">
        <v>671</v>
      </c>
      <c r="F499" s="23"/>
      <c r="G499" s="23"/>
      <c r="H499" s="23">
        <v>2122.2220000000002</v>
      </c>
    </row>
    <row r="500" spans="1:8" ht="18" customHeight="1" x14ac:dyDescent="0.25">
      <c r="A500" s="36" t="s">
        <v>30</v>
      </c>
      <c r="B500" s="37"/>
      <c r="C500" s="37"/>
      <c r="D500" s="37"/>
      <c r="E500" s="38"/>
      <c r="F500" s="22"/>
      <c r="G500" s="22"/>
      <c r="H500" s="22">
        <v>2122.2220000000002</v>
      </c>
    </row>
    <row r="501" spans="1:8" ht="20.25" customHeight="1" x14ac:dyDescent="0.25">
      <c r="A501" s="34" t="s">
        <v>29</v>
      </c>
      <c r="B501" s="35"/>
      <c r="C501" s="35"/>
      <c r="D501" s="35"/>
      <c r="E501" s="35"/>
      <c r="F501" s="35"/>
      <c r="G501" s="35"/>
      <c r="H501" s="35"/>
    </row>
    <row r="502" spans="1:8" ht="42.75" customHeight="1" x14ac:dyDescent="0.25">
      <c r="A502" s="10">
        <v>313</v>
      </c>
      <c r="B502" s="40" t="s">
        <v>672</v>
      </c>
      <c r="C502" s="41"/>
      <c r="D502" s="42"/>
      <c r="E502" s="20" t="s">
        <v>673</v>
      </c>
      <c r="F502" s="23"/>
      <c r="G502" s="23"/>
      <c r="H502" s="23">
        <f>7491.15-3000-2000</f>
        <v>2491.1499999999996</v>
      </c>
    </row>
    <row r="503" spans="1:8" ht="52.5" customHeight="1" x14ac:dyDescent="0.25">
      <c r="A503" s="10">
        <v>314</v>
      </c>
      <c r="B503" s="40" t="s">
        <v>674</v>
      </c>
      <c r="C503" s="41"/>
      <c r="D503" s="42"/>
      <c r="E503" s="20" t="s">
        <v>675</v>
      </c>
      <c r="F503" s="23"/>
      <c r="G503" s="23"/>
      <c r="H503" s="23">
        <f>7637.72341757085-3000-2000</f>
        <v>2637.72341757085</v>
      </c>
    </row>
    <row r="504" spans="1:8" ht="52.5" customHeight="1" x14ac:dyDescent="0.25">
      <c r="A504" s="10">
        <v>315</v>
      </c>
      <c r="B504" s="40" t="s">
        <v>676</v>
      </c>
      <c r="C504" s="41"/>
      <c r="D504" s="42"/>
      <c r="E504" s="20" t="s">
        <v>677</v>
      </c>
      <c r="F504" s="23"/>
      <c r="G504" s="23"/>
      <c r="H504" s="23">
        <f>5562.2-3000</f>
        <v>2562.1999999999998</v>
      </c>
    </row>
    <row r="505" spans="1:8" ht="43.5" customHeight="1" x14ac:dyDescent="0.25">
      <c r="A505" s="10">
        <v>316</v>
      </c>
      <c r="B505" s="40" t="s">
        <v>678</v>
      </c>
      <c r="C505" s="41"/>
      <c r="D505" s="42"/>
      <c r="E505" s="20" t="s">
        <v>679</v>
      </c>
      <c r="F505" s="23"/>
      <c r="G505" s="23"/>
      <c r="H505" s="23">
        <f>8795.55941757085-5000-200</f>
        <v>3595.5594175708502</v>
      </c>
    </row>
    <row r="506" spans="1:8" ht="52.5" customHeight="1" x14ac:dyDescent="0.25">
      <c r="A506" s="10">
        <v>317</v>
      </c>
      <c r="B506" s="40" t="s">
        <v>680</v>
      </c>
      <c r="C506" s="41"/>
      <c r="D506" s="42"/>
      <c r="E506" s="20" t="s">
        <v>681</v>
      </c>
      <c r="F506" s="23"/>
      <c r="G506" s="23"/>
      <c r="H506" s="23">
        <f>8790.79941757085-4000-2700</f>
        <v>2090.79941757085</v>
      </c>
    </row>
    <row r="507" spans="1:8" ht="52.5" customHeight="1" x14ac:dyDescent="0.25">
      <c r="A507" s="10">
        <v>318</v>
      </c>
      <c r="B507" s="40" t="s">
        <v>682</v>
      </c>
      <c r="C507" s="41"/>
      <c r="D507" s="42"/>
      <c r="E507" s="20" t="s">
        <v>683</v>
      </c>
      <c r="F507" s="23"/>
      <c r="G507" s="23"/>
      <c r="H507" s="23">
        <f>7657.23531757085-5000-500</f>
        <v>2157.2353175708504</v>
      </c>
    </row>
    <row r="508" spans="1:8" ht="42" customHeight="1" x14ac:dyDescent="0.25">
      <c r="A508" s="10">
        <v>319</v>
      </c>
      <c r="B508" s="40" t="s">
        <v>684</v>
      </c>
      <c r="C508" s="41"/>
      <c r="D508" s="42"/>
      <c r="E508" s="20" t="s">
        <v>685</v>
      </c>
      <c r="F508" s="23"/>
      <c r="G508" s="23"/>
      <c r="H508" s="23">
        <f>4534.3-2000</f>
        <v>2534.3000000000002</v>
      </c>
    </row>
    <row r="509" spans="1:8" ht="52.5" customHeight="1" x14ac:dyDescent="0.25">
      <c r="A509" s="10">
        <v>320</v>
      </c>
      <c r="B509" s="40" t="s">
        <v>686</v>
      </c>
      <c r="C509" s="41"/>
      <c r="D509" s="42"/>
      <c r="E509" s="20" t="s">
        <v>687</v>
      </c>
      <c r="F509" s="23"/>
      <c r="G509" s="23"/>
      <c r="H509" s="23">
        <f>8308.68941757085-4000-2000</f>
        <v>2308.6894175708494</v>
      </c>
    </row>
    <row r="510" spans="1:8" ht="52.5" customHeight="1" x14ac:dyDescent="0.25">
      <c r="A510" s="10">
        <v>321</v>
      </c>
      <c r="B510" s="40" t="s">
        <v>688</v>
      </c>
      <c r="C510" s="41"/>
      <c r="D510" s="42"/>
      <c r="E510" s="20" t="s">
        <v>689</v>
      </c>
      <c r="F510" s="23"/>
      <c r="G510" s="23"/>
      <c r="H510" s="23">
        <f>8795.55941757085-4000-2000-1000</f>
        <v>1795.5594175708502</v>
      </c>
    </row>
    <row r="511" spans="1:8" ht="18" customHeight="1" x14ac:dyDescent="0.25">
      <c r="A511" s="36" t="s">
        <v>31</v>
      </c>
      <c r="B511" s="37"/>
      <c r="C511" s="37"/>
      <c r="D511" s="37"/>
      <c r="E511" s="38"/>
      <c r="F511" s="22"/>
      <c r="G511" s="22"/>
      <c r="H511" s="22">
        <v>22173.216405425101</v>
      </c>
    </row>
    <row r="512" spans="1:8" ht="15.75" x14ac:dyDescent="0.25">
      <c r="A512" s="39" t="s">
        <v>690</v>
      </c>
      <c r="B512" s="39"/>
      <c r="C512" s="39"/>
      <c r="D512" s="39"/>
      <c r="E512" s="39"/>
      <c r="F512" s="22"/>
      <c r="G512" s="22"/>
      <c r="H512" s="22">
        <v>24295.438405425102</v>
      </c>
    </row>
    <row r="513" spans="1:8" s="14" customFormat="1" ht="21" customHeight="1" x14ac:dyDescent="0.25">
      <c r="A513" s="34" t="s">
        <v>691</v>
      </c>
      <c r="B513" s="35"/>
      <c r="C513" s="35"/>
      <c r="D513" s="35"/>
      <c r="E513" s="35"/>
      <c r="F513" s="35"/>
      <c r="G513" s="35"/>
      <c r="H513" s="35"/>
    </row>
    <row r="514" spans="1:8" ht="20.25" customHeight="1" x14ac:dyDescent="0.25">
      <c r="A514" s="34" t="s">
        <v>7</v>
      </c>
      <c r="B514" s="35"/>
      <c r="C514" s="35"/>
      <c r="D514" s="35"/>
      <c r="E514" s="35"/>
      <c r="F514" s="35"/>
      <c r="G514" s="35"/>
      <c r="H514" s="35"/>
    </row>
    <row r="515" spans="1:8" ht="52.5" customHeight="1" x14ac:dyDescent="0.25">
      <c r="A515" s="10">
        <v>322</v>
      </c>
      <c r="B515" s="40" t="s">
        <v>692</v>
      </c>
      <c r="C515" s="41"/>
      <c r="D515" s="42"/>
      <c r="E515" s="20" t="s">
        <v>693</v>
      </c>
      <c r="F515" s="23"/>
      <c r="G515" s="23"/>
      <c r="H515" s="23">
        <f>10057.031-5000-1000-2000</f>
        <v>2057.0310000000009</v>
      </c>
    </row>
    <row r="516" spans="1:8" ht="69.75" customHeight="1" x14ac:dyDescent="0.25">
      <c r="A516" s="10">
        <v>323</v>
      </c>
      <c r="B516" s="40" t="s">
        <v>694</v>
      </c>
      <c r="C516" s="41"/>
      <c r="D516" s="42"/>
      <c r="E516" s="20" t="s">
        <v>695</v>
      </c>
      <c r="F516" s="23"/>
      <c r="G516" s="23"/>
      <c r="H516" s="23">
        <f>3150-1800</f>
        <v>1350</v>
      </c>
    </row>
    <row r="517" spans="1:8" ht="41.25" customHeight="1" x14ac:dyDescent="0.25">
      <c r="A517" s="10">
        <v>324</v>
      </c>
      <c r="B517" s="40" t="s">
        <v>696</v>
      </c>
      <c r="C517" s="41"/>
      <c r="D517" s="42"/>
      <c r="E517" s="20" t="s">
        <v>697</v>
      </c>
      <c r="F517" s="23"/>
      <c r="G517" s="23"/>
      <c r="H517" s="23">
        <f>3074.66678-1800</f>
        <v>1274.66678</v>
      </c>
    </row>
    <row r="518" spans="1:8" ht="45.75" customHeight="1" x14ac:dyDescent="0.25">
      <c r="A518" s="10">
        <v>325</v>
      </c>
      <c r="B518" s="40" t="s">
        <v>698</v>
      </c>
      <c r="C518" s="41"/>
      <c r="D518" s="42"/>
      <c r="E518" s="20" t="s">
        <v>697</v>
      </c>
      <c r="F518" s="23"/>
      <c r="G518" s="23"/>
      <c r="H518" s="23">
        <v>1914</v>
      </c>
    </row>
    <row r="519" spans="1:8" ht="45.75" customHeight="1" x14ac:dyDescent="0.25">
      <c r="A519" s="10">
        <v>326</v>
      </c>
      <c r="B519" s="47" t="s">
        <v>738</v>
      </c>
      <c r="C519" s="47"/>
      <c r="D519" s="47"/>
      <c r="E519" s="28" t="s">
        <v>734</v>
      </c>
      <c r="F519" s="23">
        <v>3068.6</v>
      </c>
      <c r="G519" s="23"/>
      <c r="H519" s="23"/>
    </row>
    <row r="520" spans="1:8" ht="18" customHeight="1" x14ac:dyDescent="0.25">
      <c r="A520" s="36" t="s">
        <v>30</v>
      </c>
      <c r="B520" s="37"/>
      <c r="C520" s="37"/>
      <c r="D520" s="37"/>
      <c r="E520" s="38"/>
      <c r="F520" s="22">
        <v>3068.6</v>
      </c>
      <c r="G520" s="22"/>
      <c r="H520" s="22">
        <v>6595.6977800000004</v>
      </c>
    </row>
    <row r="521" spans="1:8" ht="20.25" customHeight="1" x14ac:dyDescent="0.25">
      <c r="A521" s="34" t="s">
        <v>29</v>
      </c>
      <c r="B521" s="35"/>
      <c r="C521" s="35"/>
      <c r="D521" s="35"/>
      <c r="E521" s="35"/>
      <c r="F521" s="35"/>
      <c r="G521" s="35"/>
      <c r="H521" s="35"/>
    </row>
    <row r="522" spans="1:8" ht="42" customHeight="1" x14ac:dyDescent="0.25">
      <c r="A522" s="10">
        <v>327</v>
      </c>
      <c r="B522" s="40" t="s">
        <v>699</v>
      </c>
      <c r="C522" s="41"/>
      <c r="D522" s="42"/>
      <c r="E522" s="20" t="s">
        <v>700</v>
      </c>
      <c r="F522" s="23"/>
      <c r="G522" s="23"/>
      <c r="H522" s="23">
        <f>7500-4800-1000</f>
        <v>1700</v>
      </c>
    </row>
    <row r="523" spans="1:8" ht="38.25" customHeight="1" x14ac:dyDescent="0.25">
      <c r="A523" s="10">
        <v>328</v>
      </c>
      <c r="B523" s="40" t="s">
        <v>701</v>
      </c>
      <c r="C523" s="41"/>
      <c r="D523" s="42"/>
      <c r="E523" s="20" t="s">
        <v>702</v>
      </c>
      <c r="F523" s="23"/>
      <c r="G523" s="23"/>
      <c r="H523" s="23">
        <f>2869.99441757085-1700</f>
        <v>1169.9944175708501</v>
      </c>
    </row>
    <row r="524" spans="1:8" ht="44.25" customHeight="1" x14ac:dyDescent="0.25">
      <c r="A524" s="10">
        <v>329</v>
      </c>
      <c r="B524" s="40" t="s">
        <v>703</v>
      </c>
      <c r="C524" s="41"/>
      <c r="D524" s="42"/>
      <c r="E524" s="20" t="s">
        <v>411</v>
      </c>
      <c r="F524" s="23"/>
      <c r="G524" s="23"/>
      <c r="H524" s="23">
        <f>6275.64141757085-5000</f>
        <v>1275.6414175708496</v>
      </c>
    </row>
    <row r="525" spans="1:8" ht="52.5" customHeight="1" x14ac:dyDescent="0.25">
      <c r="A525" s="10">
        <v>330</v>
      </c>
      <c r="B525" s="40" t="s">
        <v>704</v>
      </c>
      <c r="C525" s="41"/>
      <c r="D525" s="42"/>
      <c r="E525" s="20" t="s">
        <v>705</v>
      </c>
      <c r="F525" s="23"/>
      <c r="G525" s="23"/>
      <c r="H525" s="23">
        <f>2617.32141757085-1600</f>
        <v>1017.3214175708499</v>
      </c>
    </row>
    <row r="526" spans="1:8" ht="52.5" customHeight="1" x14ac:dyDescent="0.25">
      <c r="A526" s="10">
        <v>331</v>
      </c>
      <c r="B526" s="40" t="s">
        <v>706</v>
      </c>
      <c r="C526" s="41"/>
      <c r="D526" s="42"/>
      <c r="E526" s="20" t="s">
        <v>707</v>
      </c>
      <c r="F526" s="23"/>
      <c r="G526" s="23"/>
      <c r="H526" s="23">
        <f>7745.70693757085-5500-1000</f>
        <v>1245.7069375708497</v>
      </c>
    </row>
    <row r="527" spans="1:8" ht="38.25" customHeight="1" x14ac:dyDescent="0.25">
      <c r="A527" s="10">
        <v>332</v>
      </c>
      <c r="B527" s="40" t="s">
        <v>708</v>
      </c>
      <c r="C527" s="41"/>
      <c r="D527" s="42"/>
      <c r="E527" s="20" t="s">
        <v>709</v>
      </c>
      <c r="F527" s="23"/>
      <c r="G527" s="23"/>
      <c r="H527" s="23">
        <f>2351.68741757085-1800</f>
        <v>551.6874175708499</v>
      </c>
    </row>
    <row r="528" spans="1:8" ht="52.5" customHeight="1" x14ac:dyDescent="0.25">
      <c r="A528" s="10">
        <v>333</v>
      </c>
      <c r="B528" s="40" t="s">
        <v>710</v>
      </c>
      <c r="C528" s="41"/>
      <c r="D528" s="42"/>
      <c r="E528" s="20" t="s">
        <v>711</v>
      </c>
      <c r="F528" s="23"/>
      <c r="G528" s="23"/>
      <c r="H528" s="23">
        <f>8795.55941757085-6000-1000-100.1</f>
        <v>1695.4594175708503</v>
      </c>
    </row>
    <row r="529" spans="1:9" ht="45.75" customHeight="1" x14ac:dyDescent="0.25">
      <c r="A529" s="10">
        <v>334</v>
      </c>
      <c r="B529" s="40" t="s">
        <v>712</v>
      </c>
      <c r="C529" s="41"/>
      <c r="D529" s="42"/>
      <c r="E529" s="20" t="s">
        <v>715</v>
      </c>
      <c r="F529" s="23"/>
      <c r="G529" s="23"/>
      <c r="H529" s="23">
        <f>2746.69741757085-1500</f>
        <v>1246.6974175708501</v>
      </c>
    </row>
    <row r="530" spans="1:9" ht="39" customHeight="1" x14ac:dyDescent="0.25">
      <c r="A530" s="10">
        <v>335</v>
      </c>
      <c r="B530" s="40" t="s">
        <v>713</v>
      </c>
      <c r="C530" s="41"/>
      <c r="D530" s="42"/>
      <c r="E530" s="20" t="s">
        <v>714</v>
      </c>
      <c r="F530" s="23"/>
      <c r="G530" s="23"/>
      <c r="H530" s="23">
        <f>3795.55941757085-2000</f>
        <v>1795.5594175708502</v>
      </c>
    </row>
    <row r="531" spans="1:9" ht="42" customHeight="1" x14ac:dyDescent="0.25">
      <c r="A531" s="10">
        <v>336</v>
      </c>
      <c r="B531" s="40" t="s">
        <v>716</v>
      </c>
      <c r="C531" s="41"/>
      <c r="D531" s="42"/>
      <c r="E531" s="20" t="s">
        <v>717</v>
      </c>
      <c r="F531" s="23"/>
      <c r="G531" s="23"/>
      <c r="H531" s="23">
        <f>2936.23141757085-1500</f>
        <v>1436.2314175708502</v>
      </c>
    </row>
    <row r="532" spans="1:9" ht="18" customHeight="1" x14ac:dyDescent="0.25">
      <c r="A532" s="36" t="s">
        <v>31</v>
      </c>
      <c r="B532" s="37"/>
      <c r="C532" s="37"/>
      <c r="D532" s="37"/>
      <c r="E532" s="38"/>
      <c r="F532" s="22"/>
      <c r="G532" s="22"/>
      <c r="H532" s="22">
        <v>13134.299278137651</v>
      </c>
    </row>
    <row r="533" spans="1:9" ht="15.75" x14ac:dyDescent="0.25">
      <c r="A533" s="39" t="s">
        <v>718</v>
      </c>
      <c r="B533" s="39"/>
      <c r="C533" s="39"/>
      <c r="D533" s="39"/>
      <c r="E533" s="39"/>
      <c r="F533" s="22">
        <v>3068.6</v>
      </c>
      <c r="G533" s="22"/>
      <c r="H533" s="22">
        <v>19729.997058137651</v>
      </c>
    </row>
    <row r="534" spans="1:9" ht="18.75" x14ac:dyDescent="0.3">
      <c r="A534" s="54" t="s">
        <v>4</v>
      </c>
      <c r="B534" s="55"/>
      <c r="C534" s="55"/>
      <c r="D534" s="55"/>
      <c r="E534" s="56"/>
      <c r="F534" s="24">
        <v>139952.90000000002</v>
      </c>
      <c r="G534" s="24">
        <v>24074.746729999995</v>
      </c>
      <c r="H534" s="24">
        <v>600000.01003744523</v>
      </c>
      <c r="I534" s="15"/>
    </row>
    <row r="535" spans="1:9" x14ac:dyDescent="0.25">
      <c r="F535" s="15"/>
      <c r="G535" s="15"/>
      <c r="H535" s="15"/>
    </row>
    <row r="536" spans="1:9" ht="66.75" customHeight="1" x14ac:dyDescent="0.25">
      <c r="A536" s="49" t="s">
        <v>719</v>
      </c>
      <c r="B536" s="49"/>
      <c r="C536" s="49"/>
      <c r="D536" s="49"/>
      <c r="E536" s="49"/>
      <c r="F536" s="49"/>
      <c r="G536" s="49"/>
      <c r="H536" s="49"/>
    </row>
    <row r="537" spans="1:9" x14ac:dyDescent="0.25">
      <c r="A537" s="17"/>
      <c r="B537" s="17"/>
      <c r="C537" s="17"/>
      <c r="D537" s="17"/>
      <c r="E537" s="17"/>
      <c r="F537" s="17"/>
      <c r="G537" s="17"/>
      <c r="H537" s="17"/>
    </row>
    <row r="538" spans="1:9" x14ac:dyDescent="0.25">
      <c r="A538" s="17"/>
      <c r="B538" s="17"/>
      <c r="C538" s="17"/>
      <c r="D538" s="17"/>
      <c r="E538" s="17"/>
      <c r="F538" s="17"/>
      <c r="G538" s="17"/>
      <c r="H538" s="17"/>
    </row>
    <row r="539" spans="1:9" x14ac:dyDescent="0.25">
      <c r="A539" s="17"/>
      <c r="B539" s="17"/>
      <c r="C539" s="17"/>
      <c r="D539" s="17"/>
      <c r="E539" s="17"/>
      <c r="F539" s="17"/>
      <c r="G539" s="17"/>
      <c r="H539" s="17"/>
    </row>
    <row r="540" spans="1:9" x14ac:dyDescent="0.25">
      <c r="A540" s="17"/>
      <c r="B540" s="17"/>
      <c r="C540" s="17"/>
      <c r="D540" s="17"/>
      <c r="E540" s="17"/>
      <c r="F540" s="17"/>
      <c r="G540" s="17"/>
      <c r="H540" s="17"/>
    </row>
    <row r="541" spans="1:9" x14ac:dyDescent="0.25">
      <c r="A541" s="17"/>
      <c r="B541" s="17"/>
      <c r="C541" s="17"/>
      <c r="D541" s="17"/>
      <c r="E541" s="17"/>
      <c r="F541" s="17"/>
      <c r="G541" s="17"/>
      <c r="H541" s="17"/>
    </row>
    <row r="542" spans="1:9" x14ac:dyDescent="0.25">
      <c r="A542" s="17"/>
      <c r="B542" s="17"/>
      <c r="C542" s="17"/>
      <c r="D542" s="17"/>
      <c r="E542" s="17"/>
      <c r="F542" s="17"/>
      <c r="G542" s="17"/>
      <c r="H542" s="17"/>
    </row>
    <row r="543" spans="1:9" x14ac:dyDescent="0.25">
      <c r="A543" s="17"/>
      <c r="B543" s="17"/>
      <c r="C543" s="17"/>
      <c r="D543" s="17"/>
      <c r="E543" s="17"/>
      <c r="F543" s="17"/>
      <c r="G543" s="17"/>
      <c r="H543" s="17"/>
    </row>
    <row r="544" spans="1:9" x14ac:dyDescent="0.25">
      <c r="A544" s="17"/>
      <c r="B544" s="17"/>
      <c r="C544" s="17"/>
      <c r="D544" s="17"/>
      <c r="E544" s="17"/>
      <c r="F544" s="17"/>
      <c r="G544" s="17"/>
      <c r="H544" s="17"/>
    </row>
    <row r="545" spans="1:8" x14ac:dyDescent="0.25">
      <c r="A545" s="17"/>
      <c r="B545" s="17"/>
      <c r="C545" s="17"/>
      <c r="D545" s="17"/>
      <c r="E545" s="17"/>
      <c r="F545" s="17"/>
      <c r="G545" s="17"/>
      <c r="H545" s="17"/>
    </row>
    <row r="546" spans="1:8" x14ac:dyDescent="0.25">
      <c r="A546" s="17"/>
      <c r="B546" s="17"/>
      <c r="C546" s="17"/>
      <c r="D546" s="17"/>
      <c r="E546" s="17"/>
      <c r="F546" s="17"/>
      <c r="G546" s="17"/>
      <c r="H546" s="17"/>
    </row>
    <row r="547" spans="1:8" x14ac:dyDescent="0.25">
      <c r="A547" s="17"/>
      <c r="B547" s="17"/>
      <c r="C547" s="17"/>
      <c r="D547" s="17"/>
      <c r="E547" s="17"/>
      <c r="F547" s="17"/>
      <c r="G547" s="17"/>
      <c r="H547" s="17"/>
    </row>
    <row r="548" spans="1:8" x14ac:dyDescent="0.25">
      <c r="A548" s="17"/>
      <c r="B548" s="17"/>
      <c r="C548" s="17"/>
      <c r="D548" s="17"/>
      <c r="E548" s="17"/>
      <c r="F548" s="17"/>
      <c r="G548" s="17"/>
      <c r="H548" s="17"/>
    </row>
    <row r="549" spans="1:8" x14ac:dyDescent="0.25">
      <c r="A549" s="16"/>
    </row>
  </sheetData>
  <mergeCells count="535">
    <mergeCell ref="A534:E534"/>
    <mergeCell ref="B519:D519"/>
    <mergeCell ref="B95:D95"/>
    <mergeCell ref="B290:D290"/>
    <mergeCell ref="B220:D220"/>
    <mergeCell ref="E219:E220"/>
    <mergeCell ref="A358:H358"/>
    <mergeCell ref="B359:D359"/>
    <mergeCell ref="A360:E360"/>
    <mergeCell ref="B494:D494"/>
    <mergeCell ref="B324:D324"/>
    <mergeCell ref="B243:D243"/>
    <mergeCell ref="B264:D264"/>
    <mergeCell ref="B474:D474"/>
    <mergeCell ref="E473:E474"/>
    <mergeCell ref="B399:D399"/>
    <mergeCell ref="A458:H458"/>
    <mergeCell ref="B459:D459"/>
    <mergeCell ref="A460:E460"/>
    <mergeCell ref="A137:H137"/>
    <mergeCell ref="A138:H138"/>
    <mergeCell ref="A140:E140"/>
    <mergeCell ref="A141:H141"/>
    <mergeCell ref="A149:E149"/>
    <mergeCell ref="B478:D478"/>
    <mergeCell ref="B477:D477"/>
    <mergeCell ref="B473:D473"/>
    <mergeCell ref="B468:D468"/>
    <mergeCell ref="B467:D467"/>
    <mergeCell ref="B451:D451"/>
    <mergeCell ref="B446:D446"/>
    <mergeCell ref="G2:H2"/>
    <mergeCell ref="A536:H536"/>
    <mergeCell ref="A10:H10"/>
    <mergeCell ref="A4:H4"/>
    <mergeCell ref="A32:E32"/>
    <mergeCell ref="A7:A8"/>
    <mergeCell ref="B7:D8"/>
    <mergeCell ref="E7:E8"/>
    <mergeCell ref="F7:G7"/>
    <mergeCell ref="B9:D9"/>
    <mergeCell ref="B19:D19"/>
    <mergeCell ref="B20:D20"/>
    <mergeCell ref="B21:D21"/>
    <mergeCell ref="B22:D22"/>
    <mergeCell ref="B23:D23"/>
    <mergeCell ref="B30:D30"/>
    <mergeCell ref="A31:E31"/>
    <mergeCell ref="B161:D161"/>
    <mergeCell ref="B160:D160"/>
    <mergeCell ref="B143:D143"/>
    <mergeCell ref="B142:D142"/>
    <mergeCell ref="B453:D453"/>
    <mergeCell ref="B443:D443"/>
    <mergeCell ref="B148:D148"/>
    <mergeCell ref="B146:D146"/>
    <mergeCell ref="B145:D145"/>
    <mergeCell ref="B144:D144"/>
    <mergeCell ref="B159:D159"/>
    <mergeCell ref="B158:D158"/>
    <mergeCell ref="B157:D157"/>
    <mergeCell ref="B156:D156"/>
    <mergeCell ref="B155:D155"/>
    <mergeCell ref="B154:D154"/>
    <mergeCell ref="B153:D153"/>
    <mergeCell ref="A151:H151"/>
    <mergeCell ref="A152:H152"/>
    <mergeCell ref="A199:H199"/>
    <mergeCell ref="B227:D227"/>
    <mergeCell ref="B226:D226"/>
    <mergeCell ref="A150:E150"/>
    <mergeCell ref="A77:H77"/>
    <mergeCell ref="A88:E88"/>
    <mergeCell ref="A89:E89"/>
    <mergeCell ref="A71:H71"/>
    <mergeCell ref="A72:H72"/>
    <mergeCell ref="B87:D87"/>
    <mergeCell ref="B86:D86"/>
    <mergeCell ref="B85:D85"/>
    <mergeCell ref="B84:D84"/>
    <mergeCell ref="B83:D83"/>
    <mergeCell ref="B82:D82"/>
    <mergeCell ref="B81:D81"/>
    <mergeCell ref="B80:D80"/>
    <mergeCell ref="B79:D79"/>
    <mergeCell ref="B78:D78"/>
    <mergeCell ref="A69:E69"/>
    <mergeCell ref="A70:E70"/>
    <mergeCell ref="B68:D68"/>
    <mergeCell ref="B67:D67"/>
    <mergeCell ref="A76:E76"/>
    <mergeCell ref="A41:H41"/>
    <mergeCell ref="A42:H42"/>
    <mergeCell ref="B47:D47"/>
    <mergeCell ref="B46:D46"/>
    <mergeCell ref="B43:D43"/>
    <mergeCell ref="B48:D48"/>
    <mergeCell ref="B49:D49"/>
    <mergeCell ref="B75:D75"/>
    <mergeCell ref="B74:D74"/>
    <mergeCell ref="B73:D73"/>
    <mergeCell ref="B50:D50"/>
    <mergeCell ref="B51:D51"/>
    <mergeCell ref="B52:D52"/>
    <mergeCell ref="A11:H11"/>
    <mergeCell ref="B29:D29"/>
    <mergeCell ref="B24:D24"/>
    <mergeCell ref="A14:H14"/>
    <mergeCell ref="A13:E13"/>
    <mergeCell ref="A25:E25"/>
    <mergeCell ref="A28:H28"/>
    <mergeCell ref="B12:D12"/>
    <mergeCell ref="A27:H27"/>
    <mergeCell ref="A26:E26"/>
    <mergeCell ref="B15:D15"/>
    <mergeCell ref="B16:D16"/>
    <mergeCell ref="B17:D17"/>
    <mergeCell ref="B18:D18"/>
    <mergeCell ref="A33:H33"/>
    <mergeCell ref="A34:H34"/>
    <mergeCell ref="B37:D37"/>
    <mergeCell ref="B36:D36"/>
    <mergeCell ref="B35:D35"/>
    <mergeCell ref="B38:D38"/>
    <mergeCell ref="A39:E39"/>
    <mergeCell ref="B66:D66"/>
    <mergeCell ref="B65:D65"/>
    <mergeCell ref="B64:D64"/>
    <mergeCell ref="B54:D54"/>
    <mergeCell ref="B53:D53"/>
    <mergeCell ref="A44:E44"/>
    <mergeCell ref="A45:H45"/>
    <mergeCell ref="B58:D58"/>
    <mergeCell ref="B57:D57"/>
    <mergeCell ref="B56:D56"/>
    <mergeCell ref="B55:D55"/>
    <mergeCell ref="A59:E59"/>
    <mergeCell ref="B63:D63"/>
    <mergeCell ref="A60:E60"/>
    <mergeCell ref="A61:H61"/>
    <mergeCell ref="A62:H62"/>
    <mergeCell ref="A40:E40"/>
    <mergeCell ref="B133:D133"/>
    <mergeCell ref="B132:D132"/>
    <mergeCell ref="B131:D131"/>
    <mergeCell ref="B130:D130"/>
    <mergeCell ref="B129:D129"/>
    <mergeCell ref="B128:D128"/>
    <mergeCell ref="A90:H90"/>
    <mergeCell ref="A91:H91"/>
    <mergeCell ref="B92:D92"/>
    <mergeCell ref="A96:E96"/>
    <mergeCell ref="B102:D102"/>
    <mergeCell ref="B101:D101"/>
    <mergeCell ref="B100:D100"/>
    <mergeCell ref="B99:D99"/>
    <mergeCell ref="B98:D98"/>
    <mergeCell ref="A97:H97"/>
    <mergeCell ref="B93:D93"/>
    <mergeCell ref="A106:E106"/>
    <mergeCell ref="A107:E107"/>
    <mergeCell ref="A108:H108"/>
    <mergeCell ref="A109:H109"/>
    <mergeCell ref="B94:D94"/>
    <mergeCell ref="B113:D113"/>
    <mergeCell ref="B110:D110"/>
    <mergeCell ref="A136:E136"/>
    <mergeCell ref="B531:D531"/>
    <mergeCell ref="B530:D530"/>
    <mergeCell ref="B529:D529"/>
    <mergeCell ref="B466:D466"/>
    <mergeCell ref="B465:D465"/>
    <mergeCell ref="B464:D464"/>
    <mergeCell ref="B463:D463"/>
    <mergeCell ref="B462:D462"/>
    <mergeCell ref="B454:D454"/>
    <mergeCell ref="B528:D528"/>
    <mergeCell ref="B527:D527"/>
    <mergeCell ref="B526:D526"/>
    <mergeCell ref="B507:D507"/>
    <mergeCell ref="B506:D506"/>
    <mergeCell ref="B505:D505"/>
    <mergeCell ref="B504:D504"/>
    <mergeCell ref="B503:D503"/>
    <mergeCell ref="A193:E193"/>
    <mergeCell ref="A194:H194"/>
    <mergeCell ref="A195:H195"/>
    <mergeCell ref="B206:D206"/>
    <mergeCell ref="B205:D205"/>
    <mergeCell ref="B204:D204"/>
    <mergeCell ref="B105:D105"/>
    <mergeCell ref="B104:D104"/>
    <mergeCell ref="B103:D103"/>
    <mergeCell ref="A111:E111"/>
    <mergeCell ref="A112:H112"/>
    <mergeCell ref="B118:D118"/>
    <mergeCell ref="B117:D117"/>
    <mergeCell ref="B116:D116"/>
    <mergeCell ref="B115:D115"/>
    <mergeCell ref="B114:D114"/>
    <mergeCell ref="B126:D126"/>
    <mergeCell ref="B125:D125"/>
    <mergeCell ref="A135:E135"/>
    <mergeCell ref="B200:D200"/>
    <mergeCell ref="B197:D197"/>
    <mergeCell ref="A198:E198"/>
    <mergeCell ref="A119:E119"/>
    <mergeCell ref="A120:E120"/>
    <mergeCell ref="A121:H121"/>
    <mergeCell ref="A122:H122"/>
    <mergeCell ref="B175:D175"/>
    <mergeCell ref="B172:D172"/>
    <mergeCell ref="B167:D167"/>
    <mergeCell ref="B166:D166"/>
    <mergeCell ref="A162:E162"/>
    <mergeCell ref="A163:E163"/>
    <mergeCell ref="A164:H164"/>
    <mergeCell ref="A165:H165"/>
    <mergeCell ref="A168:E168"/>
    <mergeCell ref="A169:E169"/>
    <mergeCell ref="A170:H170"/>
    <mergeCell ref="A171:H171"/>
    <mergeCell ref="A173:E173"/>
    <mergeCell ref="B147:D147"/>
    <mergeCell ref="B124:D124"/>
    <mergeCell ref="B123:D123"/>
    <mergeCell ref="B139:D139"/>
    <mergeCell ref="B134:D134"/>
    <mergeCell ref="A174:H174"/>
    <mergeCell ref="B196:D196"/>
    <mergeCell ref="B191:D191"/>
    <mergeCell ref="B190:D190"/>
    <mergeCell ref="B189:D189"/>
    <mergeCell ref="B188:D188"/>
    <mergeCell ref="B187:D187"/>
    <mergeCell ref="B186:D186"/>
    <mergeCell ref="B181:D181"/>
    <mergeCell ref="B180:D180"/>
    <mergeCell ref="B179:D179"/>
    <mergeCell ref="B178:D178"/>
    <mergeCell ref="B177:D177"/>
    <mergeCell ref="B176:D176"/>
    <mergeCell ref="A182:E182"/>
    <mergeCell ref="A183:E183"/>
    <mergeCell ref="A184:H184"/>
    <mergeCell ref="A185:H185"/>
    <mergeCell ref="A192:E192"/>
    <mergeCell ref="B127:D127"/>
    <mergeCell ref="B225:D225"/>
    <mergeCell ref="B224:D224"/>
    <mergeCell ref="B223:D223"/>
    <mergeCell ref="B219:D219"/>
    <mergeCell ref="B214:D214"/>
    <mergeCell ref="B213:D213"/>
    <mergeCell ref="B212:D212"/>
    <mergeCell ref="B211:D211"/>
    <mergeCell ref="B210:D210"/>
    <mergeCell ref="A215:E215"/>
    <mergeCell ref="A216:E216"/>
    <mergeCell ref="A217:H217"/>
    <mergeCell ref="A218:H218"/>
    <mergeCell ref="A221:E221"/>
    <mergeCell ref="A222:H222"/>
    <mergeCell ref="B209:D209"/>
    <mergeCell ref="B208:D208"/>
    <mergeCell ref="B207:D207"/>
    <mergeCell ref="B203:D203"/>
    <mergeCell ref="B202:D202"/>
    <mergeCell ref="B201:D201"/>
    <mergeCell ref="B248:D248"/>
    <mergeCell ref="B247:D247"/>
    <mergeCell ref="B246:D246"/>
    <mergeCell ref="B242:D242"/>
    <mergeCell ref="B241:D241"/>
    <mergeCell ref="B240:D240"/>
    <mergeCell ref="B235:D235"/>
    <mergeCell ref="B234:D234"/>
    <mergeCell ref="B233:D233"/>
    <mergeCell ref="A244:E244"/>
    <mergeCell ref="A245:H245"/>
    <mergeCell ref="B232:D232"/>
    <mergeCell ref="B231:D231"/>
    <mergeCell ref="B230:D230"/>
    <mergeCell ref="B229:D229"/>
    <mergeCell ref="B228:D228"/>
    <mergeCell ref="A236:E236"/>
    <mergeCell ref="A237:E237"/>
    <mergeCell ref="A238:H238"/>
    <mergeCell ref="A239:H239"/>
    <mergeCell ref="B270:D270"/>
    <mergeCell ref="B269:D269"/>
    <mergeCell ref="B268:D268"/>
    <mergeCell ref="B267:D267"/>
    <mergeCell ref="B263:D263"/>
    <mergeCell ref="B262:D262"/>
    <mergeCell ref="B257:D257"/>
    <mergeCell ref="B256:D256"/>
    <mergeCell ref="B255:D255"/>
    <mergeCell ref="A261:H261"/>
    <mergeCell ref="A265:E265"/>
    <mergeCell ref="A266:H266"/>
    <mergeCell ref="B254:D254"/>
    <mergeCell ref="B253:D253"/>
    <mergeCell ref="B252:D252"/>
    <mergeCell ref="B251:D251"/>
    <mergeCell ref="B250:D250"/>
    <mergeCell ref="B249:D249"/>
    <mergeCell ref="A258:E258"/>
    <mergeCell ref="A259:E259"/>
    <mergeCell ref="A260:H260"/>
    <mergeCell ref="B272:D272"/>
    <mergeCell ref="B271:D271"/>
    <mergeCell ref="B295:D295"/>
    <mergeCell ref="B294:D294"/>
    <mergeCell ref="B293:D293"/>
    <mergeCell ref="B289:D289"/>
    <mergeCell ref="B288:D288"/>
    <mergeCell ref="B287:D287"/>
    <mergeCell ref="B282:D282"/>
    <mergeCell ref="A283:E283"/>
    <mergeCell ref="A284:E284"/>
    <mergeCell ref="A285:H285"/>
    <mergeCell ref="A286:H286"/>
    <mergeCell ref="A291:E291"/>
    <mergeCell ref="A292:H292"/>
    <mergeCell ref="B281:D281"/>
    <mergeCell ref="B280:D280"/>
    <mergeCell ref="B279:D279"/>
    <mergeCell ref="B278:D278"/>
    <mergeCell ref="B277:D277"/>
    <mergeCell ref="B276:D276"/>
    <mergeCell ref="B275:D275"/>
    <mergeCell ref="B274:D274"/>
    <mergeCell ref="B273:D273"/>
    <mergeCell ref="B296:D296"/>
    <mergeCell ref="B313:D313"/>
    <mergeCell ref="B312:D312"/>
    <mergeCell ref="B311:D311"/>
    <mergeCell ref="B310:D310"/>
    <mergeCell ref="B309:D309"/>
    <mergeCell ref="B306:D306"/>
    <mergeCell ref="B305:D305"/>
    <mergeCell ref="B300:D300"/>
    <mergeCell ref="B299:D299"/>
    <mergeCell ref="B298:D298"/>
    <mergeCell ref="B297:D297"/>
    <mergeCell ref="A301:E301"/>
    <mergeCell ref="A302:E302"/>
    <mergeCell ref="A303:H303"/>
    <mergeCell ref="A304:H304"/>
    <mergeCell ref="A307:E307"/>
    <mergeCell ref="A308:H308"/>
    <mergeCell ref="B337:D337"/>
    <mergeCell ref="B334:D334"/>
    <mergeCell ref="B329:D329"/>
    <mergeCell ref="B328:D328"/>
    <mergeCell ref="B327:D327"/>
    <mergeCell ref="B323:D323"/>
    <mergeCell ref="B318:D318"/>
    <mergeCell ref="B317:D317"/>
    <mergeCell ref="B316:D316"/>
    <mergeCell ref="A331:E331"/>
    <mergeCell ref="A332:H332"/>
    <mergeCell ref="A333:H333"/>
    <mergeCell ref="A335:E335"/>
    <mergeCell ref="A336:H336"/>
    <mergeCell ref="B315:D315"/>
    <mergeCell ref="B314:D314"/>
    <mergeCell ref="A319:E319"/>
    <mergeCell ref="A320:E320"/>
    <mergeCell ref="A321:H321"/>
    <mergeCell ref="A322:H322"/>
    <mergeCell ref="A325:E325"/>
    <mergeCell ref="A326:H326"/>
    <mergeCell ref="A330:E330"/>
    <mergeCell ref="B370:D370"/>
    <mergeCell ref="B365:D365"/>
    <mergeCell ref="B364:D364"/>
    <mergeCell ref="B363:D363"/>
    <mergeCell ref="B362:D362"/>
    <mergeCell ref="B354:D354"/>
    <mergeCell ref="B353:D353"/>
    <mergeCell ref="B352:D352"/>
    <mergeCell ref="B351:D351"/>
    <mergeCell ref="A355:E355"/>
    <mergeCell ref="A356:E356"/>
    <mergeCell ref="A357:H357"/>
    <mergeCell ref="A361:H361"/>
    <mergeCell ref="A366:E366"/>
    <mergeCell ref="A367:E367"/>
    <mergeCell ref="A368:H368"/>
    <mergeCell ref="A369:H369"/>
    <mergeCell ref="B350:D350"/>
    <mergeCell ref="B349:D349"/>
    <mergeCell ref="B344:D344"/>
    <mergeCell ref="B343:D343"/>
    <mergeCell ref="B342:D342"/>
    <mergeCell ref="B341:D341"/>
    <mergeCell ref="B340:D340"/>
    <mergeCell ref="B339:D339"/>
    <mergeCell ref="B338:D338"/>
    <mergeCell ref="A345:E345"/>
    <mergeCell ref="A346:E346"/>
    <mergeCell ref="A347:H347"/>
    <mergeCell ref="A348:H348"/>
    <mergeCell ref="B392:D392"/>
    <mergeCell ref="B391:D391"/>
    <mergeCell ref="B390:D390"/>
    <mergeCell ref="B389:D389"/>
    <mergeCell ref="B388:D388"/>
    <mergeCell ref="B387:D387"/>
    <mergeCell ref="B386:D386"/>
    <mergeCell ref="B383:D383"/>
    <mergeCell ref="B382:D382"/>
    <mergeCell ref="A384:E384"/>
    <mergeCell ref="A385:H385"/>
    <mergeCell ref="B381:D381"/>
    <mergeCell ref="B376:D376"/>
    <mergeCell ref="B375:D375"/>
    <mergeCell ref="B374:D374"/>
    <mergeCell ref="B373:D373"/>
    <mergeCell ref="B372:D372"/>
    <mergeCell ref="B371:D371"/>
    <mergeCell ref="A377:E377"/>
    <mergeCell ref="A378:E378"/>
    <mergeCell ref="A379:H379"/>
    <mergeCell ref="A380:H380"/>
    <mergeCell ref="B393:D393"/>
    <mergeCell ref="A394:E394"/>
    <mergeCell ref="A395:E395"/>
    <mergeCell ref="A396:H396"/>
    <mergeCell ref="A397:H397"/>
    <mergeCell ref="B421:D421"/>
    <mergeCell ref="B416:D416"/>
    <mergeCell ref="B415:D415"/>
    <mergeCell ref="B414:D414"/>
    <mergeCell ref="B413:D413"/>
    <mergeCell ref="B412:D412"/>
    <mergeCell ref="B411:D411"/>
    <mergeCell ref="B410:D410"/>
    <mergeCell ref="B409:D409"/>
    <mergeCell ref="B408:D408"/>
    <mergeCell ref="B407:D407"/>
    <mergeCell ref="B406:D406"/>
    <mergeCell ref="B405:D405"/>
    <mergeCell ref="B404:D404"/>
    <mergeCell ref="B403:D403"/>
    <mergeCell ref="B402:D402"/>
    <mergeCell ref="B398:D398"/>
    <mergeCell ref="A400:E400"/>
    <mergeCell ref="A401:H401"/>
    <mergeCell ref="A417:E417"/>
    <mergeCell ref="A418:E418"/>
    <mergeCell ref="A419:H419"/>
    <mergeCell ref="A420:H420"/>
    <mergeCell ref="B442:D442"/>
    <mergeCell ref="B441:D441"/>
    <mergeCell ref="B440:D440"/>
    <mergeCell ref="B439:D439"/>
    <mergeCell ref="B438:D438"/>
    <mergeCell ref="B437:D437"/>
    <mergeCell ref="B434:D434"/>
    <mergeCell ref="B429:D429"/>
    <mergeCell ref="B428:D428"/>
    <mergeCell ref="B427:D427"/>
    <mergeCell ref="B426:D426"/>
    <mergeCell ref="B425:D425"/>
    <mergeCell ref="B424:D424"/>
    <mergeCell ref="B423:D423"/>
    <mergeCell ref="B422:D422"/>
    <mergeCell ref="A430:E430"/>
    <mergeCell ref="A431:E431"/>
    <mergeCell ref="A432:H432"/>
    <mergeCell ref="A433:H433"/>
    <mergeCell ref="A435:E435"/>
    <mergeCell ref="A436:H436"/>
    <mergeCell ref="A447:E447"/>
    <mergeCell ref="A448:E448"/>
    <mergeCell ref="A449:H449"/>
    <mergeCell ref="A450:H450"/>
    <mergeCell ref="A455:E455"/>
    <mergeCell ref="A456:E456"/>
    <mergeCell ref="A457:H457"/>
    <mergeCell ref="A461:H461"/>
    <mergeCell ref="B452:D452"/>
    <mergeCell ref="B445:D445"/>
    <mergeCell ref="B444:D444"/>
    <mergeCell ref="A495:E495"/>
    <mergeCell ref="A496:E496"/>
    <mergeCell ref="A497:H497"/>
    <mergeCell ref="A469:E469"/>
    <mergeCell ref="A470:E470"/>
    <mergeCell ref="A471:H471"/>
    <mergeCell ref="A472:H472"/>
    <mergeCell ref="A475:E475"/>
    <mergeCell ref="A476:H476"/>
    <mergeCell ref="B491:D491"/>
    <mergeCell ref="B486:D486"/>
    <mergeCell ref="B485:D485"/>
    <mergeCell ref="B484:D484"/>
    <mergeCell ref="B483:D483"/>
    <mergeCell ref="B482:D482"/>
    <mergeCell ref="B481:D481"/>
    <mergeCell ref="A487:E487"/>
    <mergeCell ref="B493:D493"/>
    <mergeCell ref="B492:D492"/>
    <mergeCell ref="A488:E488"/>
    <mergeCell ref="A489:H489"/>
    <mergeCell ref="A490:H490"/>
    <mergeCell ref="B480:D480"/>
    <mergeCell ref="B479:D479"/>
    <mergeCell ref="A521:H521"/>
    <mergeCell ref="A532:E532"/>
    <mergeCell ref="A533:E533"/>
    <mergeCell ref="A498:H498"/>
    <mergeCell ref="A500:E500"/>
    <mergeCell ref="A501:H501"/>
    <mergeCell ref="B525:D525"/>
    <mergeCell ref="B524:D524"/>
    <mergeCell ref="B523:D523"/>
    <mergeCell ref="B522:D522"/>
    <mergeCell ref="B518:D518"/>
    <mergeCell ref="B517:D517"/>
    <mergeCell ref="B516:D516"/>
    <mergeCell ref="B515:D515"/>
    <mergeCell ref="B510:D510"/>
    <mergeCell ref="B509:D509"/>
    <mergeCell ref="A511:E511"/>
    <mergeCell ref="A512:E512"/>
    <mergeCell ref="A513:H513"/>
    <mergeCell ref="A514:H514"/>
    <mergeCell ref="A520:E520"/>
    <mergeCell ref="B508:D508"/>
    <mergeCell ref="B502:D502"/>
    <mergeCell ref="B499:D499"/>
  </mergeCells>
  <pageMargins left="0.70866141732283472" right="0.43307086614173229" top="0.74803149606299213" bottom="0.74803149606299213" header="0.31496062992125984" footer="0.31496062992125984"/>
  <pageSetup scale="78" orientation="portrait" r:id="rId1"/>
  <headerFooter>
    <oddFooter>&amp;C
 &amp;P</oddFooter>
  </headerFooter>
  <rowBreaks count="1" manualBreakCount="1">
    <brk id="51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Formularul nr. 7</vt:lpstr>
      <vt:lpstr>'Formularul nr. 7'!Print_Area</vt:lpstr>
      <vt:lpstr>'Formularul nr. 7'!Print_Titles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Voinesco Diana</dc:creator>
  <cp:lastModifiedBy>Veronica, Chirila</cp:lastModifiedBy>
  <cp:lastPrinted>2022-12-06T16:56:28Z</cp:lastPrinted>
  <dcterms:created xsi:type="dcterms:W3CDTF">2020-11-26T08:44:10Z</dcterms:created>
  <dcterms:modified xsi:type="dcterms:W3CDTF">2022-12-06T16:56:47Z</dcterms:modified>
</cp:coreProperties>
</file>